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лощади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0" hidden="1">Площади!$A$4:$AV$295</definedName>
    <definedName name="_xlnm.Print_Titles" localSheetId="0">Площади!$1:$3</definedName>
  </definedNames>
  <calcPr calcId="152511"/>
</workbook>
</file>

<file path=xl/calcChain.xml><?xml version="1.0" encoding="utf-8"?>
<calcChain xmlns="http://schemas.openxmlformats.org/spreadsheetml/2006/main">
  <c r="U289" i="2" l="1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AB251" i="2"/>
  <c r="Z251" i="2"/>
  <c r="Y251" i="2"/>
  <c r="X251" i="2"/>
  <c r="W251" i="2"/>
  <c r="V251" i="2"/>
  <c r="AG250" i="2"/>
  <c r="AF250" i="2"/>
  <c r="AE250" i="2"/>
  <c r="AA250" i="2"/>
  <c r="AA251" i="2" s="1"/>
  <c r="Z250" i="2"/>
  <c r="AC250" i="2" s="1"/>
  <c r="AD250" i="2" s="1"/>
  <c r="U250" i="2"/>
  <c r="AC249" i="2"/>
  <c r="AD249" i="2" s="1"/>
  <c r="U249" i="2"/>
  <c r="U251" i="2" s="1"/>
  <c r="AD248" i="2"/>
  <c r="AC248" i="2"/>
  <c r="AB247" i="2"/>
  <c r="Z247" i="2"/>
  <c r="Y247" i="2"/>
  <c r="X247" i="2"/>
  <c r="W247" i="2"/>
  <c r="V247" i="2"/>
  <c r="U247" i="2"/>
  <c r="AC246" i="2"/>
  <c r="AD246" i="2" s="1"/>
  <c r="AC245" i="2"/>
  <c r="AD245" i="2" s="1"/>
  <c r="U245" i="2"/>
  <c r="AA244" i="2"/>
  <c r="AA247" i="2" s="1"/>
  <c r="U244" i="2"/>
  <c r="AG243" i="2"/>
  <c r="AD243" i="2"/>
  <c r="AC243" i="2"/>
  <c r="AG242" i="2"/>
  <c r="AF242" i="2"/>
  <c r="AB242" i="2"/>
  <c r="AA242" i="2"/>
  <c r="Z242" i="2"/>
  <c r="Y242" i="2"/>
  <c r="X242" i="2"/>
  <c r="W242" i="2"/>
  <c r="V242" i="2"/>
  <c r="U242" i="2"/>
  <c r="AD241" i="2"/>
  <c r="AC241" i="2"/>
  <c r="U241" i="2"/>
  <c r="AJ240" i="2"/>
  <c r="AI240" i="2"/>
  <c r="AH240" i="2"/>
  <c r="AG240" i="2"/>
  <c r="AF240" i="2"/>
  <c r="AE240" i="2"/>
  <c r="AD240" i="2"/>
  <c r="AC240" i="2"/>
  <c r="AC242" i="2" s="1"/>
  <c r="AD242" i="2" s="1"/>
  <c r="AG239" i="2"/>
  <c r="AB239" i="2"/>
  <c r="AA239" i="2"/>
  <c r="Z239" i="2"/>
  <c r="Y239" i="2"/>
  <c r="X239" i="2"/>
  <c r="W239" i="2"/>
  <c r="V239" i="2"/>
  <c r="AJ238" i="2"/>
  <c r="AI238" i="2"/>
  <c r="AH238" i="2"/>
  <c r="AG238" i="2"/>
  <c r="AF238" i="2"/>
  <c r="AE238" i="2"/>
  <c r="AD238" i="2"/>
  <c r="AC238" i="2"/>
  <c r="AJ237" i="2"/>
  <c r="AI237" i="2"/>
  <c r="AH237" i="2"/>
  <c r="AG237" i="2"/>
  <c r="AF237" i="2"/>
  <c r="AE237" i="2"/>
  <c r="AD237" i="2"/>
  <c r="AC237" i="2"/>
  <c r="U237" i="2"/>
  <c r="U239" i="2" s="1"/>
  <c r="AC236" i="2"/>
  <c r="AC239" i="2" s="1"/>
  <c r="AD239" i="2" s="1"/>
  <c r="Y235" i="2"/>
  <c r="X235" i="2"/>
  <c r="W235" i="2"/>
  <c r="V235" i="2"/>
  <c r="AB234" i="2"/>
  <c r="AB235" i="2" s="1"/>
  <c r="AA234" i="2"/>
  <c r="AA235" i="2" s="1"/>
  <c r="U234" i="2"/>
  <c r="AC233" i="2"/>
  <c r="AD233" i="2" s="1"/>
  <c r="U233" i="2"/>
  <c r="AF232" i="2"/>
  <c r="AC232" i="2"/>
  <c r="AD232" i="2" s="1"/>
  <c r="U232" i="2"/>
  <c r="AD231" i="2"/>
  <c r="AC231" i="2"/>
  <c r="U231" i="2"/>
  <c r="AC230" i="2"/>
  <c r="AD230" i="2" s="1"/>
  <c r="U230" i="2"/>
  <c r="AA229" i="2"/>
  <c r="Z229" i="2"/>
  <c r="AJ228" i="2"/>
  <c r="AI228" i="2"/>
  <c r="AH228" i="2" s="1"/>
  <c r="AB228" i="2"/>
  <c r="AA228" i="2"/>
  <c r="Z228" i="2"/>
  <c r="Y228" i="2"/>
  <c r="X228" i="2"/>
  <c r="W228" i="2"/>
  <c r="V228" i="2"/>
  <c r="AC227" i="2"/>
  <c r="AD227" i="2" s="1"/>
  <c r="U227" i="2"/>
  <c r="AC226" i="2"/>
  <c r="AD226" i="2" s="1"/>
  <c r="U226" i="2"/>
  <c r="U228" i="2" s="1"/>
  <c r="AE225" i="2"/>
  <c r="AD225" i="2"/>
  <c r="AC225" i="2"/>
  <c r="AC228" i="2" s="1"/>
  <c r="AD228" i="2" s="1"/>
  <c r="AB224" i="2"/>
  <c r="Y224" i="2"/>
  <c r="X224" i="2"/>
  <c r="W224" i="2"/>
  <c r="V224" i="2"/>
  <c r="AC223" i="2"/>
  <c r="AD223" i="2" s="1"/>
  <c r="U223" i="2"/>
  <c r="AF222" i="2"/>
  <c r="AE222" i="2"/>
  <c r="AC222" i="2"/>
  <c r="AD222" i="2" s="1"/>
  <c r="U222" i="2"/>
  <c r="AD221" i="2"/>
  <c r="AE221" i="2" s="1"/>
  <c r="AB221" i="2"/>
  <c r="AA221" i="2"/>
  <c r="Z221" i="2"/>
  <c r="AC221" i="2" s="1"/>
  <c r="U221" i="2"/>
  <c r="Z220" i="2"/>
  <c r="AC220" i="2" s="1"/>
  <c r="U220" i="2"/>
  <c r="U224" i="2" s="1"/>
  <c r="AF219" i="2"/>
  <c r="AE219" i="2"/>
  <c r="AC219" i="2"/>
  <c r="AD219" i="2" s="1"/>
  <c r="AB219" i="2"/>
  <c r="AA219" i="2"/>
  <c r="AA224" i="2" s="1"/>
  <c r="Z219" i="2"/>
  <c r="AB218" i="2"/>
  <c r="AA218" i="2"/>
  <c r="Z218" i="2"/>
  <c r="Y218" i="2"/>
  <c r="X218" i="2"/>
  <c r="W218" i="2"/>
  <c r="V218" i="2"/>
  <c r="AC217" i="2"/>
  <c r="AD217" i="2" s="1"/>
  <c r="U217" i="2"/>
  <c r="AJ216" i="2"/>
  <c r="AI216" i="2"/>
  <c r="AH216" i="2" s="1"/>
  <c r="AG216" i="2"/>
  <c r="AD216" i="2"/>
  <c r="AF216" i="2" s="1"/>
  <c r="AC216" i="2"/>
  <c r="U216" i="2"/>
  <c r="U218" i="2" s="1"/>
  <c r="AC215" i="2"/>
  <c r="AA214" i="2"/>
  <c r="Y214" i="2"/>
  <c r="X214" i="2"/>
  <c r="W214" i="2"/>
  <c r="V214" i="2"/>
  <c r="U214" i="2"/>
  <c r="AI213" i="2"/>
  <c r="Z213" i="2"/>
  <c r="AC213" i="2" s="1"/>
  <c r="AD213" i="2" s="1"/>
  <c r="U213" i="2"/>
  <c r="AC212" i="2"/>
  <c r="AD212" i="2" s="1"/>
  <c r="U212" i="2"/>
  <c r="AC211" i="2"/>
  <c r="AD211" i="2" s="1"/>
  <c r="U211" i="2"/>
  <c r="AG210" i="2"/>
  <c r="AF210" i="2"/>
  <c r="AE210" i="2"/>
  <c r="AD210" i="2"/>
  <c r="AC210" i="2"/>
  <c r="U210" i="2"/>
  <c r="AG209" i="2"/>
  <c r="AF209" i="2"/>
  <c r="AE209" i="2"/>
  <c r="Z209" i="2"/>
  <c r="AC209" i="2" s="1"/>
  <c r="AD209" i="2" s="1"/>
  <c r="U209" i="2"/>
  <c r="AB208" i="2"/>
  <c r="AB214" i="2" s="1"/>
  <c r="AA208" i="2"/>
  <c r="Z208" i="2"/>
  <c r="AC208" i="2" s="1"/>
  <c r="AA207" i="2"/>
  <c r="Y207" i="2"/>
  <c r="X207" i="2"/>
  <c r="W207" i="2"/>
  <c r="V207" i="2"/>
  <c r="AB206" i="2"/>
  <c r="AC206" i="2" s="1"/>
  <c r="AD206" i="2" s="1"/>
  <c r="Z206" i="2"/>
  <c r="U206" i="2"/>
  <c r="AJ205" i="2"/>
  <c r="AI205" i="2"/>
  <c r="AH205" i="2"/>
  <c r="AG205" i="2"/>
  <c r="AF205" i="2"/>
  <c r="AE205" i="2"/>
  <c r="AD205" i="2"/>
  <c r="AC205" i="2"/>
  <c r="U205" i="2"/>
  <c r="AC204" i="2"/>
  <c r="AD204" i="2" s="1"/>
  <c r="U204" i="2"/>
  <c r="AC203" i="2"/>
  <c r="U203" i="2"/>
  <c r="U207" i="2" s="1"/>
  <c r="AB202" i="2"/>
  <c r="AC202" i="2" s="1"/>
  <c r="Z202" i="2"/>
  <c r="Z207" i="2" s="1"/>
  <c r="U202" i="2"/>
  <c r="AE201" i="2"/>
  <c r="AD201" i="2"/>
  <c r="AC201" i="2"/>
  <c r="AB200" i="2"/>
  <c r="AA200" i="2"/>
  <c r="Z200" i="2"/>
  <c r="Y200" i="2"/>
  <c r="X200" i="2"/>
  <c r="W200" i="2"/>
  <c r="V200" i="2"/>
  <c r="AE199" i="2"/>
  <c r="AD199" i="2"/>
  <c r="AC199" i="2"/>
  <c r="U199" i="2"/>
  <c r="AJ198" i="2"/>
  <c r="AG198" i="2"/>
  <c r="AF198" i="2"/>
  <c r="AE198" i="2"/>
  <c r="AD198" i="2"/>
  <c r="AI198" i="2" s="1"/>
  <c r="AH198" i="2" s="1"/>
  <c r="AC198" i="2"/>
  <c r="U198" i="2"/>
  <c r="U200" i="2" s="1"/>
  <c r="AC197" i="2"/>
  <c r="AC200" i="2" s="1"/>
  <c r="AD200" i="2" s="1"/>
  <c r="AB196" i="2"/>
  <c r="AA196" i="2"/>
  <c r="Z196" i="2"/>
  <c r="Y196" i="2"/>
  <c r="X196" i="2"/>
  <c r="W196" i="2"/>
  <c r="V196" i="2"/>
  <c r="AC195" i="2"/>
  <c r="AD195" i="2" s="1"/>
  <c r="U195" i="2"/>
  <c r="AJ194" i="2"/>
  <c r="AI194" i="2"/>
  <c r="AG194" i="2"/>
  <c r="AD194" i="2"/>
  <c r="AF194" i="2" s="1"/>
  <c r="AC194" i="2"/>
  <c r="U194" i="2"/>
  <c r="AJ193" i="2"/>
  <c r="AI193" i="2"/>
  <c r="AH193" i="2"/>
  <c r="AC193" i="2"/>
  <c r="AD193" i="2" s="1"/>
  <c r="U193" i="2"/>
  <c r="AC192" i="2"/>
  <c r="AD192" i="2" s="1"/>
  <c r="U192" i="2"/>
  <c r="U196" i="2" s="1"/>
  <c r="AJ191" i="2"/>
  <c r="AD191" i="2"/>
  <c r="AC191" i="2"/>
  <c r="AB190" i="2"/>
  <c r="Y190" i="2"/>
  <c r="X190" i="2"/>
  <c r="W190" i="2"/>
  <c r="V190" i="2"/>
  <c r="Z189" i="2"/>
  <c r="AC189" i="2" s="1"/>
  <c r="AD189" i="2" s="1"/>
  <c r="U189" i="2"/>
  <c r="AE188" i="2"/>
  <c r="AD188" i="2"/>
  <c r="AC188" i="2"/>
  <c r="Z188" i="2"/>
  <c r="U188" i="2"/>
  <c r="AG187" i="2"/>
  <c r="AC187" i="2"/>
  <c r="AD187" i="2" s="1"/>
  <c r="U187" i="2"/>
  <c r="AJ186" i="2"/>
  <c r="AI186" i="2"/>
  <c r="AH186" i="2" s="1"/>
  <c r="AG186" i="2"/>
  <c r="AD186" i="2"/>
  <c r="AF186" i="2" s="1"/>
  <c r="AC186" i="2"/>
  <c r="U186" i="2"/>
  <c r="AJ185" i="2"/>
  <c r="AC185" i="2"/>
  <c r="AD185" i="2" s="1"/>
  <c r="U185" i="2"/>
  <c r="AD184" i="2"/>
  <c r="AC184" i="2"/>
  <c r="AB184" i="2"/>
  <c r="Z184" i="2"/>
  <c r="Z190" i="2" s="1"/>
  <c r="U184" i="2"/>
  <c r="AE183" i="2"/>
  <c r="AD183" i="2"/>
  <c r="AC183" i="2"/>
  <c r="U183" i="2"/>
  <c r="AJ182" i="2"/>
  <c r="AG182" i="2"/>
  <c r="AF182" i="2"/>
  <c r="AE182" i="2"/>
  <c r="AD182" i="2"/>
  <c r="AI182" i="2" s="1"/>
  <c r="AH182" i="2" s="1"/>
  <c r="AC182" i="2"/>
  <c r="U182" i="2"/>
  <c r="AF181" i="2"/>
  <c r="AC181" i="2"/>
  <c r="AD181" i="2" s="1"/>
  <c r="U181" i="2"/>
  <c r="AC180" i="2"/>
  <c r="U180" i="2"/>
  <c r="AC179" i="2"/>
  <c r="AD179" i="2" s="1"/>
  <c r="U179" i="2"/>
  <c r="U190" i="2" s="1"/>
  <c r="AA178" i="2"/>
  <c r="AA190" i="2" s="1"/>
  <c r="AB177" i="2"/>
  <c r="AA177" i="2"/>
  <c r="Z177" i="2"/>
  <c r="Y177" i="2"/>
  <c r="X177" i="2"/>
  <c r="W177" i="2"/>
  <c r="V177" i="2"/>
  <c r="AC176" i="2"/>
  <c r="AD176" i="2" s="1"/>
  <c r="AF176" i="2" s="1"/>
  <c r="Z176" i="2"/>
  <c r="U176" i="2"/>
  <c r="AG175" i="2"/>
  <c r="AF175" i="2"/>
  <c r="AC175" i="2"/>
  <c r="AD175" i="2" s="1"/>
  <c r="U175" i="2"/>
  <c r="AG174" i="2"/>
  <c r="AF174" i="2"/>
  <c r="AC174" i="2"/>
  <c r="AD174" i="2" s="1"/>
  <c r="U174" i="2"/>
  <c r="AJ173" i="2"/>
  <c r="AI173" i="2"/>
  <c r="AH173" i="2" s="1"/>
  <c r="AG173" i="2"/>
  <c r="AD173" i="2"/>
  <c r="AF173" i="2" s="1"/>
  <c r="AC173" i="2"/>
  <c r="U173" i="2"/>
  <c r="AC172" i="2"/>
  <c r="U172" i="2"/>
  <c r="AD171" i="2"/>
  <c r="AC171" i="2"/>
  <c r="AC177" i="2" s="1"/>
  <c r="AD177" i="2" s="1"/>
  <c r="U171" i="2"/>
  <c r="AC170" i="2"/>
  <c r="AD170" i="2" s="1"/>
  <c r="AF170" i="2" s="1"/>
  <c r="U170" i="2"/>
  <c r="AE169" i="2"/>
  <c r="AD169" i="2"/>
  <c r="AC169" i="2"/>
  <c r="Y168" i="2"/>
  <c r="X168" i="2"/>
  <c r="W168" i="2"/>
  <c r="V168" i="2"/>
  <c r="AD167" i="2"/>
  <c r="Z167" i="2"/>
  <c r="AC167" i="2" s="1"/>
  <c r="U167" i="2"/>
  <c r="AI166" i="2"/>
  <c r="AG166" i="2"/>
  <c r="AF166" i="2"/>
  <c r="AC166" i="2"/>
  <c r="AD166" i="2" s="1"/>
  <c r="U166" i="2"/>
  <c r="U168" i="2" s="1"/>
  <c r="AB165" i="2"/>
  <c r="AB168" i="2" s="1"/>
  <c r="AA165" i="2"/>
  <c r="AB164" i="2"/>
  <c r="AA164" i="2"/>
  <c r="Z164" i="2"/>
  <c r="Y164" i="2"/>
  <c r="X164" i="2"/>
  <c r="W164" i="2"/>
  <c r="V164" i="2"/>
  <c r="AD163" i="2"/>
  <c r="AC163" i="2"/>
  <c r="U163" i="2"/>
  <c r="U164" i="2" s="1"/>
  <c r="AJ162" i="2"/>
  <c r="AD162" i="2"/>
  <c r="AC162" i="2"/>
  <c r="AC164" i="2" s="1"/>
  <c r="AD164" i="2" s="1"/>
  <c r="AB161" i="2"/>
  <c r="AA161" i="2"/>
  <c r="Z161" i="2"/>
  <c r="Y161" i="2"/>
  <c r="X161" i="2"/>
  <c r="W161" i="2"/>
  <c r="V161" i="2"/>
  <c r="AD160" i="2"/>
  <c r="AC160" i="2"/>
  <c r="U160" i="2"/>
  <c r="U161" i="2" s="1"/>
  <c r="AC159" i="2"/>
  <c r="AC158" i="2"/>
  <c r="AD158" i="2" s="1"/>
  <c r="AB158" i="2"/>
  <c r="AA158" i="2"/>
  <c r="Z158" i="2"/>
  <c r="Y158" i="2"/>
  <c r="X158" i="2"/>
  <c r="W158" i="2"/>
  <c r="V158" i="2"/>
  <c r="U158" i="2"/>
  <c r="AD157" i="2"/>
  <c r="AC157" i="2"/>
  <c r="U157" i="2"/>
  <c r="Y155" i="2"/>
  <c r="X155" i="2"/>
  <c r="W155" i="2"/>
  <c r="V155" i="2"/>
  <c r="AC154" i="2"/>
  <c r="AD154" i="2" s="1"/>
  <c r="U154" i="2"/>
  <c r="AC153" i="2"/>
  <c r="AD153" i="2" s="1"/>
  <c r="U153" i="2"/>
  <c r="AC152" i="2"/>
  <c r="U152" i="2"/>
  <c r="AB151" i="2"/>
  <c r="Z151" i="2"/>
  <c r="AJ150" i="2"/>
  <c r="AI150" i="2"/>
  <c r="AH150" i="2" s="1"/>
  <c r="AC150" i="2"/>
  <c r="AD150" i="2" s="1"/>
  <c r="U150" i="2"/>
  <c r="U155" i="2" s="1"/>
  <c r="AB149" i="2"/>
  <c r="AC149" i="2" s="1"/>
  <c r="AA149" i="2"/>
  <c r="AA155" i="2" s="1"/>
  <c r="Y148" i="2"/>
  <c r="X148" i="2"/>
  <c r="W148" i="2"/>
  <c r="V148" i="2"/>
  <c r="AC147" i="2"/>
  <c r="AD147" i="2" s="1"/>
  <c r="AB147" i="2"/>
  <c r="AB148" i="2" s="1"/>
  <c r="AA147" i="2"/>
  <c r="AA148" i="2" s="1"/>
  <c r="Z147" i="2"/>
  <c r="Z148" i="2" s="1"/>
  <c r="AC146" i="2"/>
  <c r="AD146" i="2" s="1"/>
  <c r="AF146" i="2" s="1"/>
  <c r="U146" i="2"/>
  <c r="AC145" i="2"/>
  <c r="U145" i="2"/>
  <c r="AC144" i="2"/>
  <c r="U144" i="2"/>
  <c r="U148" i="2" s="1"/>
  <c r="AC143" i="2"/>
  <c r="AC148" i="2" s="1"/>
  <c r="AD148" i="2" s="1"/>
  <c r="U143" i="2"/>
  <c r="AE142" i="2"/>
  <c r="AD142" i="2"/>
  <c r="AC142" i="2"/>
  <c r="U142" i="2"/>
  <c r="AC141" i="2"/>
  <c r="U141" i="2"/>
  <c r="AJ140" i="2"/>
  <c r="AI140" i="2"/>
  <c r="AH140" i="2"/>
  <c r="AG140" i="2"/>
  <c r="AD140" i="2"/>
  <c r="AF140" i="2" s="1"/>
  <c r="AC140" i="2"/>
  <c r="AB139" i="2"/>
  <c r="AA139" i="2"/>
  <c r="Z139" i="2"/>
  <c r="Y139" i="2"/>
  <c r="X139" i="2"/>
  <c r="W139" i="2"/>
  <c r="V139" i="2"/>
  <c r="AJ138" i="2"/>
  <c r="AI138" i="2"/>
  <c r="AH138" i="2" s="1"/>
  <c r="AG138" i="2"/>
  <c r="AD138" i="2"/>
  <c r="AF138" i="2" s="1"/>
  <c r="AC138" i="2"/>
  <c r="U138" i="2"/>
  <c r="AC137" i="2"/>
  <c r="AD137" i="2" s="1"/>
  <c r="U137" i="2"/>
  <c r="U139" i="2" s="1"/>
  <c r="AJ136" i="2"/>
  <c r="AI136" i="2"/>
  <c r="AH136" i="2" s="1"/>
  <c r="AD136" i="2"/>
  <c r="AC136" i="2"/>
  <c r="AC135" i="2"/>
  <c r="AD135" i="2" s="1"/>
  <c r="AB135" i="2"/>
  <c r="AA135" i="2"/>
  <c r="Z135" i="2"/>
  <c r="Y135" i="2"/>
  <c r="X135" i="2"/>
  <c r="W135" i="2"/>
  <c r="V135" i="2"/>
  <c r="AD134" i="2"/>
  <c r="AC134" i="2"/>
  <c r="U134" i="2"/>
  <c r="AC133" i="2"/>
  <c r="AD133" i="2" s="1"/>
  <c r="U133" i="2"/>
  <c r="U135" i="2" s="1"/>
  <c r="AC132" i="2"/>
  <c r="AD132" i="2" s="1"/>
  <c r="AF132" i="2" s="1"/>
  <c r="U132" i="2"/>
  <c r="AG131" i="2"/>
  <c r="AF131" i="2"/>
  <c r="AD131" i="2"/>
  <c r="AC131" i="2"/>
  <c r="AB130" i="2"/>
  <c r="AA130" i="2"/>
  <c r="Z130" i="2"/>
  <c r="Y130" i="2"/>
  <c r="X130" i="2"/>
  <c r="W130" i="2"/>
  <c r="V130" i="2"/>
  <c r="AD129" i="2"/>
  <c r="AC129" i="2"/>
  <c r="U129" i="2"/>
  <c r="AE128" i="2"/>
  <c r="AC128" i="2"/>
  <c r="AD128" i="2" s="1"/>
  <c r="U128" i="2"/>
  <c r="U130" i="2" s="1"/>
  <c r="AC127" i="2"/>
  <c r="AC130" i="2" s="1"/>
  <c r="AD130" i="2" s="1"/>
  <c r="AB126" i="2"/>
  <c r="AA126" i="2"/>
  <c r="Z126" i="2"/>
  <c r="Y126" i="2"/>
  <c r="X126" i="2"/>
  <c r="W126" i="2"/>
  <c r="V126" i="2"/>
  <c r="U126" i="2"/>
  <c r="AC125" i="2"/>
  <c r="AD125" i="2" s="1"/>
  <c r="U125" i="2"/>
  <c r="AJ124" i="2"/>
  <c r="AH124" i="2" s="1"/>
  <c r="AI124" i="2"/>
  <c r="AG124" i="2"/>
  <c r="AD124" i="2"/>
  <c r="AF124" i="2" s="1"/>
  <c r="AC124" i="2"/>
  <c r="AJ123" i="2"/>
  <c r="AI123" i="2"/>
  <c r="AH123" i="2" s="1"/>
  <c r="AD123" i="2"/>
  <c r="AC123" i="2"/>
  <c r="AA122" i="2"/>
  <c r="Z122" i="2"/>
  <c r="Y122" i="2"/>
  <c r="X122" i="2"/>
  <c r="W122" i="2"/>
  <c r="V122" i="2"/>
  <c r="AB121" i="2"/>
  <c r="U121" i="2"/>
  <c r="AC120" i="2"/>
  <c r="AD120" i="2" s="1"/>
  <c r="U120" i="2"/>
  <c r="AJ119" i="2"/>
  <c r="AD119" i="2"/>
  <c r="AC119" i="2"/>
  <c r="AC118" i="2"/>
  <c r="AD118" i="2" s="1"/>
  <c r="AB118" i="2"/>
  <c r="AA118" i="2"/>
  <c r="Z118" i="2"/>
  <c r="Y118" i="2"/>
  <c r="X118" i="2"/>
  <c r="W118" i="2"/>
  <c r="V118" i="2"/>
  <c r="U118" i="2"/>
  <c r="AJ117" i="2"/>
  <c r="AG117" i="2"/>
  <c r="AC117" i="2"/>
  <c r="AD117" i="2" s="1"/>
  <c r="U117" i="2"/>
  <c r="AD116" i="2"/>
  <c r="AC116" i="2"/>
  <c r="U116" i="2"/>
  <c r="AD115" i="2"/>
  <c r="AC115" i="2"/>
  <c r="AC114" i="2"/>
  <c r="U114" i="2"/>
  <c r="AG113" i="2"/>
  <c r="AD113" i="2"/>
  <c r="AC113" i="2"/>
  <c r="U113" i="2"/>
  <c r="AG112" i="2"/>
  <c r="AE112" i="2"/>
  <c r="AD112" i="2"/>
  <c r="AC112" i="2"/>
  <c r="U112" i="2"/>
  <c r="AD111" i="2"/>
  <c r="AC111" i="2"/>
  <c r="Y110" i="2"/>
  <c r="X110" i="2"/>
  <c r="W110" i="2"/>
  <c r="V110" i="2"/>
  <c r="U110" i="2"/>
  <c r="AB109" i="2"/>
  <c r="AA109" i="2"/>
  <c r="U109" i="2"/>
  <c r="Z109" i="2" s="1"/>
  <c r="AI108" i="2"/>
  <c r="AC108" i="2"/>
  <c r="AD108" i="2" s="1"/>
  <c r="Z108" i="2"/>
  <c r="U108" i="2"/>
  <c r="AB107" i="2"/>
  <c r="AA107" i="2"/>
  <c r="AA110" i="2" s="1"/>
  <c r="AB106" i="2"/>
  <c r="Y106" i="2"/>
  <c r="X106" i="2"/>
  <c r="W106" i="2"/>
  <c r="V106" i="2"/>
  <c r="U106" i="2"/>
  <c r="AB105" i="2"/>
  <c r="AC105" i="2" s="1"/>
  <c r="AC106" i="2" s="1"/>
  <c r="AD106" i="2" s="1"/>
  <c r="AA105" i="2"/>
  <c r="AA106" i="2" s="1"/>
  <c r="Z105" i="2"/>
  <c r="Z106" i="2" s="1"/>
  <c r="U105" i="2"/>
  <c r="AI104" i="2"/>
  <c r="AG104" i="2"/>
  <c r="AC104" i="2"/>
  <c r="AD104" i="2" s="1"/>
  <c r="AB103" i="2"/>
  <c r="AA103" i="2"/>
  <c r="Z103" i="2"/>
  <c r="Y103" i="2"/>
  <c r="X103" i="2"/>
  <c r="W103" i="2"/>
  <c r="V103" i="2"/>
  <c r="AI102" i="2"/>
  <c r="AG102" i="2"/>
  <c r="AC102" i="2"/>
  <c r="AD102" i="2" s="1"/>
  <c r="U102" i="2"/>
  <c r="AJ101" i="2"/>
  <c r="AI101" i="2"/>
  <c r="AH101" i="2"/>
  <c r="AG101" i="2"/>
  <c r="AD101" i="2"/>
  <c r="AF101" i="2" s="1"/>
  <c r="AC101" i="2"/>
  <c r="U101" i="2"/>
  <c r="AC100" i="2"/>
  <c r="AD100" i="2" s="1"/>
  <c r="AJ99" i="2"/>
  <c r="AI99" i="2"/>
  <c r="AC99" i="2"/>
  <c r="AD99" i="2" s="1"/>
  <c r="U99" i="2"/>
  <c r="U103" i="2" s="1"/>
  <c r="AC98" i="2"/>
  <c r="AC103" i="2" s="1"/>
  <c r="AD103" i="2" s="1"/>
  <c r="AB97" i="2"/>
  <c r="AA97" i="2"/>
  <c r="Z97" i="2"/>
  <c r="Y97" i="2"/>
  <c r="X97" i="2"/>
  <c r="W97" i="2"/>
  <c r="V97" i="2"/>
  <c r="AD96" i="2"/>
  <c r="AC96" i="2"/>
  <c r="AC95" i="2"/>
  <c r="U95" i="2"/>
  <c r="AC94" i="2"/>
  <c r="AD94" i="2" s="1"/>
  <c r="U94" i="2"/>
  <c r="AG93" i="2"/>
  <c r="AF93" i="2"/>
  <c r="AD93" i="2"/>
  <c r="AC93" i="2"/>
  <c r="U93" i="2"/>
  <c r="AC92" i="2"/>
  <c r="U92" i="2"/>
  <c r="AJ91" i="2"/>
  <c r="AI91" i="2"/>
  <c r="AH91" i="2" s="1"/>
  <c r="AG91" i="2"/>
  <c r="AD91" i="2"/>
  <c r="AF91" i="2" s="1"/>
  <c r="AC91" i="2"/>
  <c r="U91" i="2"/>
  <c r="U97" i="2" s="1"/>
  <c r="AJ90" i="2"/>
  <c r="AI90" i="2"/>
  <c r="AH90" i="2"/>
  <c r="AC90" i="2"/>
  <c r="AD90" i="2" s="1"/>
  <c r="U90" i="2"/>
  <c r="AC89" i="2"/>
  <c r="AB88" i="2"/>
  <c r="AA88" i="2"/>
  <c r="Y88" i="2"/>
  <c r="X88" i="2"/>
  <c r="W88" i="2"/>
  <c r="V88" i="2"/>
  <c r="AC87" i="2"/>
  <c r="AD87" i="2" s="1"/>
  <c r="U87" i="2"/>
  <c r="AC86" i="2"/>
  <c r="AD86" i="2" s="1"/>
  <c r="AJ86" i="2" s="1"/>
  <c r="U86" i="2"/>
  <c r="AD85" i="2"/>
  <c r="AC85" i="2"/>
  <c r="Z85" i="2"/>
  <c r="U85" i="2"/>
  <c r="AB84" i="2"/>
  <c r="AA84" i="2"/>
  <c r="Z84" i="2"/>
  <c r="U84" i="2"/>
  <c r="AC83" i="2"/>
  <c r="AD83" i="2" s="1"/>
  <c r="U83" i="2"/>
  <c r="AJ82" i="2"/>
  <c r="AE82" i="2"/>
  <c r="AC82" i="2"/>
  <c r="AD82" i="2" s="1"/>
  <c r="U82" i="2"/>
  <c r="U88" i="2" s="1"/>
  <c r="AC81" i="2"/>
  <c r="AB81" i="2"/>
  <c r="AA81" i="2"/>
  <c r="Z80" i="2"/>
  <c r="Y80" i="2"/>
  <c r="X80" i="2"/>
  <c r="W80" i="2"/>
  <c r="V80" i="2"/>
  <c r="AE79" i="2"/>
  <c r="AA79" i="2"/>
  <c r="Z79" i="2"/>
  <c r="AC79" i="2" s="1"/>
  <c r="AD79" i="2" s="1"/>
  <c r="U79" i="2"/>
  <c r="AB78" i="2"/>
  <c r="U78" i="2"/>
  <c r="AC77" i="2"/>
  <c r="AD77" i="2" s="1"/>
  <c r="AJ77" i="2" s="1"/>
  <c r="AA77" i="2"/>
  <c r="AA80" i="2" s="1"/>
  <c r="Z77" i="2"/>
  <c r="U77" i="2"/>
  <c r="AJ76" i="2"/>
  <c r="AH76" i="2"/>
  <c r="AG76" i="2"/>
  <c r="AF76" i="2"/>
  <c r="AE76" i="2"/>
  <c r="AD76" i="2"/>
  <c r="AI76" i="2" s="1"/>
  <c r="AC76" i="2"/>
  <c r="U76" i="2"/>
  <c r="U80" i="2" s="1"/>
  <c r="AC75" i="2"/>
  <c r="AB74" i="2"/>
  <c r="Y74" i="2"/>
  <c r="X74" i="2"/>
  <c r="W74" i="2"/>
  <c r="V74" i="2"/>
  <c r="U74" i="2"/>
  <c r="AC73" i="2"/>
  <c r="AD73" i="2" s="1"/>
  <c r="U73" i="2"/>
  <c r="AA72" i="2"/>
  <c r="AA74" i="2" s="1"/>
  <c r="Z72" i="2"/>
  <c r="U72" i="2"/>
  <c r="AC71" i="2"/>
  <c r="AD71" i="2" s="1"/>
  <c r="AB70" i="2"/>
  <c r="AA70" i="2"/>
  <c r="Z70" i="2"/>
  <c r="Y70" i="2"/>
  <c r="X70" i="2"/>
  <c r="W70" i="2"/>
  <c r="V70" i="2"/>
  <c r="AC69" i="2"/>
  <c r="AC70" i="2" s="1"/>
  <c r="AD70" i="2" s="1"/>
  <c r="U69" i="2"/>
  <c r="U70" i="2" s="1"/>
  <c r="AF68" i="2"/>
  <c r="AE68" i="2"/>
  <c r="AD68" i="2"/>
  <c r="AC68" i="2"/>
  <c r="AB67" i="2"/>
  <c r="AA67" i="2"/>
  <c r="Z67" i="2"/>
  <c r="Y67" i="2"/>
  <c r="X67" i="2"/>
  <c r="W67" i="2"/>
  <c r="V67" i="2"/>
  <c r="U67" i="2"/>
  <c r="AF66" i="2"/>
  <c r="AE66" i="2"/>
  <c r="AD66" i="2"/>
  <c r="AC66" i="2"/>
  <c r="U66" i="2"/>
  <c r="AD65" i="2"/>
  <c r="AG65" i="2" s="1"/>
  <c r="AC65" i="2"/>
  <c r="U65" i="2"/>
  <c r="AC64" i="2"/>
  <c r="AD64" i="2" s="1"/>
  <c r="U64" i="2"/>
  <c r="AI63" i="2"/>
  <c r="AG63" i="2"/>
  <c r="AF63" i="2"/>
  <c r="AC63" i="2"/>
  <c r="AD63" i="2" s="1"/>
  <c r="U63" i="2"/>
  <c r="AJ62" i="2"/>
  <c r="AI62" i="2"/>
  <c r="AH62" i="2"/>
  <c r="AG62" i="2"/>
  <c r="AD62" i="2"/>
  <c r="AF62" i="2" s="1"/>
  <c r="AC62" i="2"/>
  <c r="U62" i="2"/>
  <c r="AC61" i="2"/>
  <c r="AD61" i="2" s="1"/>
  <c r="AJ61" i="2" s="1"/>
  <c r="AB60" i="2"/>
  <c r="AA60" i="2"/>
  <c r="Z60" i="2"/>
  <c r="Y60" i="2"/>
  <c r="X60" i="2"/>
  <c r="W60" i="2"/>
  <c r="V60" i="2"/>
  <c r="AC59" i="2"/>
  <c r="AD59" i="2" s="1"/>
  <c r="Z59" i="2"/>
  <c r="U59" i="2"/>
  <c r="AD58" i="2"/>
  <c r="AJ58" i="2" s="1"/>
  <c r="U58" i="2"/>
  <c r="U60" i="2" s="1"/>
  <c r="AJ57" i="2"/>
  <c r="AE57" i="2"/>
  <c r="AD57" i="2"/>
  <c r="AC57" i="2"/>
  <c r="AC60" i="2" s="1"/>
  <c r="AD60" i="2" s="1"/>
  <c r="Z57" i="2"/>
  <c r="U57" i="2"/>
  <c r="AD56" i="2"/>
  <c r="AF56" i="2" s="1"/>
  <c r="AC56" i="2"/>
  <c r="U56" i="2"/>
  <c r="AC55" i="2"/>
  <c r="AD55" i="2" s="1"/>
  <c r="AG55" i="2" s="1"/>
  <c r="AA54" i="2"/>
  <c r="Z54" i="2"/>
  <c r="Y54" i="2"/>
  <c r="X54" i="2"/>
  <c r="W54" i="2"/>
  <c r="V54" i="2"/>
  <c r="U54" i="2"/>
  <c r="AB53" i="2"/>
  <c r="AC53" i="2" s="1"/>
  <c r="Y52" i="2"/>
  <c r="X52" i="2"/>
  <c r="W52" i="2"/>
  <c r="V52" i="2"/>
  <c r="AB51" i="2"/>
  <c r="AA51" i="2"/>
  <c r="AA52" i="2" s="1"/>
  <c r="Z51" i="2"/>
  <c r="AC51" i="2" s="1"/>
  <c r="AD51" i="2" s="1"/>
  <c r="AG51" i="2" s="1"/>
  <c r="U51" i="2"/>
  <c r="AC50" i="2"/>
  <c r="AD50" i="2" s="1"/>
  <c r="U50" i="2"/>
  <c r="AF49" i="2"/>
  <c r="AE49" i="2"/>
  <c r="AD49" i="2"/>
  <c r="AC49" i="2"/>
  <c r="AB49" i="2"/>
  <c r="Z49" i="2"/>
  <c r="U49" i="2"/>
  <c r="AC48" i="2"/>
  <c r="U48" i="2"/>
  <c r="AC47" i="2"/>
  <c r="U47" i="2"/>
  <c r="AB46" i="2"/>
  <c r="AB52" i="2" s="1"/>
  <c r="AA46" i="2"/>
  <c r="U46" i="2"/>
  <c r="AC45" i="2"/>
  <c r="AD45" i="2" s="1"/>
  <c r="AG45" i="2" s="1"/>
  <c r="AB44" i="2"/>
  <c r="AA44" i="2"/>
  <c r="Z44" i="2"/>
  <c r="Y44" i="2"/>
  <c r="X44" i="2"/>
  <c r="W44" i="2"/>
  <c r="V44" i="2"/>
  <c r="AC43" i="2"/>
  <c r="AD43" i="2" s="1"/>
  <c r="U43" i="2"/>
  <c r="AI42" i="2"/>
  <c r="AG42" i="2"/>
  <c r="AF42" i="2"/>
  <c r="AC42" i="2"/>
  <c r="AD42" i="2" s="1"/>
  <c r="U42" i="2"/>
  <c r="AC41" i="2"/>
  <c r="U41" i="2"/>
  <c r="AJ40" i="2"/>
  <c r="AI40" i="2"/>
  <c r="AH40" i="2" s="1"/>
  <c r="AD40" i="2"/>
  <c r="AC40" i="2"/>
  <c r="U40" i="2"/>
  <c r="AC39" i="2"/>
  <c r="AD39" i="2" s="1"/>
  <c r="U39" i="2"/>
  <c r="U44" i="2" s="1"/>
  <c r="AF38" i="2"/>
  <c r="AE38" i="2"/>
  <c r="AD38" i="2"/>
  <c r="AC38" i="2"/>
  <c r="U38" i="2"/>
  <c r="AG37" i="2"/>
  <c r="AF37" i="2"/>
  <c r="AE37" i="2"/>
  <c r="AD37" i="2"/>
  <c r="AC37" i="2"/>
  <c r="AB36" i="2"/>
  <c r="AA36" i="2"/>
  <c r="Z36" i="2"/>
  <c r="Y36" i="2"/>
  <c r="X36" i="2"/>
  <c r="W36" i="2"/>
  <c r="V36" i="2"/>
  <c r="AC35" i="2"/>
  <c r="U35" i="2"/>
  <c r="AC34" i="2"/>
  <c r="U34" i="2"/>
  <c r="AC33" i="2"/>
  <c r="U33" i="2"/>
  <c r="AC32" i="2"/>
  <c r="AD32" i="2" s="1"/>
  <c r="U32" i="2"/>
  <c r="AF31" i="2"/>
  <c r="AE31" i="2"/>
  <c r="AD31" i="2"/>
  <c r="AC31" i="2"/>
  <c r="U31" i="2"/>
  <c r="AG30" i="2"/>
  <c r="AF30" i="2"/>
  <c r="AE30" i="2"/>
  <c r="AD30" i="2"/>
  <c r="AC30" i="2"/>
  <c r="U30" i="2"/>
  <c r="AC29" i="2"/>
  <c r="AD29" i="2" s="1"/>
  <c r="AF29" i="2" s="1"/>
  <c r="U29" i="2"/>
  <c r="AC28" i="2"/>
  <c r="AD28" i="2" s="1"/>
  <c r="AI28" i="2" s="1"/>
  <c r="AI27" i="2"/>
  <c r="AG27" i="2"/>
  <c r="AF27" i="2"/>
  <c r="AC27" i="2"/>
  <c r="AD27" i="2" s="1"/>
  <c r="U27" i="2"/>
  <c r="AJ26" i="2"/>
  <c r="AI26" i="2"/>
  <c r="AH26" i="2"/>
  <c r="AG26" i="2"/>
  <c r="AD26" i="2"/>
  <c r="AF26" i="2" s="1"/>
  <c r="AC26" i="2"/>
  <c r="U26" i="2"/>
  <c r="AC25" i="2"/>
  <c r="AD25" i="2" s="1"/>
  <c r="U25" i="2"/>
  <c r="AC24" i="2"/>
  <c r="U24" i="2"/>
  <c r="AC23" i="2"/>
  <c r="AD23" i="2" s="1"/>
  <c r="AF21" i="2"/>
  <c r="AE21" i="2"/>
  <c r="AD21" i="2"/>
  <c r="AC21" i="2"/>
  <c r="U21" i="2"/>
  <c r="AD20" i="2"/>
  <c r="AG20" i="2" s="1"/>
  <c r="AC20" i="2"/>
  <c r="U20" i="2"/>
  <c r="AC19" i="2"/>
  <c r="AD19" i="2" s="1"/>
  <c r="AG19" i="2" s="1"/>
  <c r="U19" i="2"/>
  <c r="AI18" i="2"/>
  <c r="AG18" i="2"/>
  <c r="AF18" i="2"/>
  <c r="AC18" i="2"/>
  <c r="AD18" i="2" s="1"/>
  <c r="U18" i="2"/>
  <c r="AJ17" i="2"/>
  <c r="AI17" i="2"/>
  <c r="AH17" i="2"/>
  <c r="AG17" i="2"/>
  <c r="AD17" i="2"/>
  <c r="AF17" i="2" s="1"/>
  <c r="AC17" i="2"/>
  <c r="AJ16" i="2"/>
  <c r="AI16" i="2"/>
  <c r="AH16" i="2"/>
  <c r="AG16" i="2"/>
  <c r="AD16" i="2"/>
  <c r="AF16" i="2" s="1"/>
  <c r="AC16" i="2"/>
  <c r="U16" i="2"/>
  <c r="AC15" i="2"/>
  <c r="AD15" i="2" s="1"/>
  <c r="AJ15" i="2" s="1"/>
  <c r="U15" i="2"/>
  <c r="AJ14" i="2"/>
  <c r="AI14" i="2"/>
  <c r="AD14" i="2"/>
  <c r="AC14" i="2"/>
  <c r="U14" i="2"/>
  <c r="AC13" i="2"/>
  <c r="AC36" i="2" s="1"/>
  <c r="AD36" i="2" s="1"/>
  <c r="AB12" i="2"/>
  <c r="AA12" i="2"/>
  <c r="Z12" i="2"/>
  <c r="Y12" i="2"/>
  <c r="X12" i="2"/>
  <c r="W12" i="2"/>
  <c r="V12" i="2"/>
  <c r="AC11" i="2"/>
  <c r="AD11" i="2" s="1"/>
  <c r="U11" i="2"/>
  <c r="U12" i="2" s="1"/>
  <c r="AC10" i="2"/>
  <c r="AC12" i="2" s="1"/>
  <c r="AB9" i="2"/>
  <c r="AA9" i="2"/>
  <c r="Z9" i="2"/>
  <c r="Y9" i="2"/>
  <c r="X9" i="2"/>
  <c r="W9" i="2"/>
  <c r="V9" i="2"/>
  <c r="AF8" i="2"/>
  <c r="AE8" i="2"/>
  <c r="AD8" i="2"/>
  <c r="AC7" i="2"/>
  <c r="AD7" i="2" s="1"/>
  <c r="U7" i="2"/>
  <c r="U9" i="2" s="1"/>
  <c r="AC6" i="2"/>
  <c r="AC9" i="2" s="1"/>
  <c r="U6" i="2"/>
  <c r="AG5" i="2"/>
  <c r="AF5" i="2"/>
  <c r="AE5" i="2"/>
  <c r="AD5" i="2"/>
  <c r="AC5" i="2"/>
  <c r="AI50" i="2" l="1"/>
  <c r="AG50" i="2"/>
  <c r="AF50" i="2"/>
  <c r="AJ50" i="2"/>
  <c r="AE50" i="2"/>
  <c r="AJ23" i="2"/>
  <c r="AI23" i="2"/>
  <c r="AH23" i="2" s="1"/>
  <c r="AG23" i="2"/>
  <c r="AF23" i="2"/>
  <c r="AE23" i="2"/>
  <c r="AI70" i="2"/>
  <c r="AH70" i="2" s="1"/>
  <c r="AG70" i="2"/>
  <c r="AF70" i="2"/>
  <c r="AE70" i="2"/>
  <c r="AJ70" i="2"/>
  <c r="AJ71" i="2"/>
  <c r="AE71" i="2"/>
  <c r="AI71" i="2"/>
  <c r="AH71" i="2" s="1"/>
  <c r="AG71" i="2"/>
  <c r="AF71" i="2"/>
  <c r="AI106" i="2"/>
  <c r="AH106" i="2" s="1"/>
  <c r="AG106" i="2"/>
  <c r="AF106" i="2"/>
  <c r="AE106" i="2"/>
  <c r="AJ106" i="2"/>
  <c r="AI32" i="2"/>
  <c r="AG32" i="2"/>
  <c r="AF32" i="2"/>
  <c r="AE32" i="2"/>
  <c r="AJ32" i="2"/>
  <c r="AI39" i="2"/>
  <c r="AG39" i="2"/>
  <c r="AF39" i="2"/>
  <c r="AE39" i="2"/>
  <c r="AJ39" i="2"/>
  <c r="AH108" i="2"/>
  <c r="AG60" i="2"/>
  <c r="AF60" i="2"/>
  <c r="AE60" i="2"/>
  <c r="AJ60" i="2"/>
  <c r="AI60" i="2"/>
  <c r="AH60" i="2" s="1"/>
  <c r="AI7" i="2"/>
  <c r="AH7" i="2" s="1"/>
  <c r="AG7" i="2"/>
  <c r="AF7" i="2"/>
  <c r="AE7" i="2"/>
  <c r="AJ7" i="2"/>
  <c r="AI11" i="2"/>
  <c r="AG11" i="2"/>
  <c r="AF11" i="2"/>
  <c r="AE11" i="2"/>
  <c r="AJ11" i="2"/>
  <c r="AJ36" i="2"/>
  <c r="AI36" i="2"/>
  <c r="AH36" i="2" s="1"/>
  <c r="AG36" i="2"/>
  <c r="AF36" i="2"/>
  <c r="AE36" i="2"/>
  <c r="AH18" i="2"/>
  <c r="AG192" i="2"/>
  <c r="AF192" i="2"/>
  <c r="AE192" i="2"/>
  <c r="AJ192" i="2"/>
  <c r="AI192" i="2"/>
  <c r="AH192" i="2" s="1"/>
  <c r="AG59" i="2"/>
  <c r="AF59" i="2"/>
  <c r="AE59" i="2"/>
  <c r="AJ85" i="2"/>
  <c r="AI85" i="2"/>
  <c r="AH85" i="2" s="1"/>
  <c r="AG85" i="2"/>
  <c r="AE85" i="2"/>
  <c r="AF85" i="2"/>
  <c r="AG157" i="2"/>
  <c r="AF157" i="2"/>
  <c r="AE157" i="2"/>
  <c r="AJ157" i="2"/>
  <c r="AG25" i="2"/>
  <c r="AF25" i="2"/>
  <c r="AE25" i="2"/>
  <c r="AE29" i="2"/>
  <c r="AE56" i="2"/>
  <c r="AJ148" i="2"/>
  <c r="AI148" i="2"/>
  <c r="AH148" i="2" s="1"/>
  <c r="AG148" i="2"/>
  <c r="AF148" i="2"/>
  <c r="AE148" i="2"/>
  <c r="AI157" i="2"/>
  <c r="AI59" i="2"/>
  <c r="AJ64" i="2"/>
  <c r="AI64" i="2"/>
  <c r="AH64" i="2" s="1"/>
  <c r="AE65" i="2"/>
  <c r="AC67" i="2"/>
  <c r="AD67" i="2" s="1"/>
  <c r="AE19" i="2"/>
  <c r="AI25" i="2"/>
  <c r="AG29" i="2"/>
  <c r="AJ43" i="2"/>
  <c r="AI43" i="2"/>
  <c r="AH43" i="2" s="1"/>
  <c r="AC46" i="2"/>
  <c r="AE64" i="2"/>
  <c r="AE86" i="2"/>
  <c r="AJ94" i="2"/>
  <c r="AI94" i="2"/>
  <c r="AG94" i="2"/>
  <c r="AF94" i="2"/>
  <c r="AE94" i="2"/>
  <c r="AD105" i="2"/>
  <c r="AJ116" i="2"/>
  <c r="AI116" i="2"/>
  <c r="AH116" i="2" s="1"/>
  <c r="AG116" i="2"/>
  <c r="AE116" i="2"/>
  <c r="AF116" i="2"/>
  <c r="AJ129" i="2"/>
  <c r="AI129" i="2"/>
  <c r="AH129" i="2" s="1"/>
  <c r="AF129" i="2"/>
  <c r="AG129" i="2"/>
  <c r="AI133" i="2"/>
  <c r="AH133" i="2" s="1"/>
  <c r="AG133" i="2"/>
  <c r="AF133" i="2"/>
  <c r="AJ133" i="2"/>
  <c r="AE133" i="2"/>
  <c r="AE217" i="2"/>
  <c r="AJ217" i="2"/>
  <c r="AI217" i="2"/>
  <c r="AH217" i="2" s="1"/>
  <c r="AG217" i="2"/>
  <c r="AF217" i="2"/>
  <c r="AD6" i="2"/>
  <c r="AJ8" i="2"/>
  <c r="AI8" i="2"/>
  <c r="AG8" i="2"/>
  <c r="AD10" i="2"/>
  <c r="U36" i="2"/>
  <c r="AI15" i="2"/>
  <c r="AH15" i="2" s="1"/>
  <c r="AE18" i="2"/>
  <c r="AJ18" i="2"/>
  <c r="AF19" i="2"/>
  <c r="AJ25" i="2"/>
  <c r="AG28" i="2"/>
  <c r="AC44" i="2"/>
  <c r="AD44" i="2" s="1"/>
  <c r="AE43" i="2"/>
  <c r="AE45" i="2"/>
  <c r="AE58" i="2"/>
  <c r="AE63" i="2"/>
  <c r="AJ63" i="2"/>
  <c r="AH63" i="2" s="1"/>
  <c r="AF64" i="2"/>
  <c r="AD69" i="2"/>
  <c r="AI82" i="2"/>
  <c r="AH82" i="2" s="1"/>
  <c r="AG82" i="2"/>
  <c r="AF82" i="2"/>
  <c r="AH99" i="2"/>
  <c r="AE129" i="2"/>
  <c r="AD149" i="2"/>
  <c r="AE51" i="2"/>
  <c r="AJ51" i="2"/>
  <c r="AJ56" i="2"/>
  <c r="AI56" i="2"/>
  <c r="AH56" i="2" s="1"/>
  <c r="AE103" i="2"/>
  <c r="AJ103" i="2"/>
  <c r="AG103" i="2"/>
  <c r="AI103" i="2"/>
  <c r="Z110" i="2"/>
  <c r="AC109" i="2"/>
  <c r="AD109" i="2" s="1"/>
  <c r="AJ221" i="2"/>
  <c r="AI221" i="2"/>
  <c r="AH221" i="2" s="1"/>
  <c r="AG221" i="2"/>
  <c r="AF221" i="2"/>
  <c r="AD13" i="2"/>
  <c r="AJ55" i="2"/>
  <c r="AI55" i="2"/>
  <c r="AH55" i="2" s="1"/>
  <c r="AI154" i="2"/>
  <c r="AG154" i="2"/>
  <c r="AF154" i="2"/>
  <c r="AJ154" i="2"/>
  <c r="AE154" i="2"/>
  <c r="AI61" i="2"/>
  <c r="AH61" i="2" s="1"/>
  <c r="Z88" i="2"/>
  <c r="AC84" i="2"/>
  <c r="AD84" i="2" s="1"/>
  <c r="AG111" i="2"/>
  <c r="AJ111" i="2"/>
  <c r="AI111" i="2"/>
  <c r="AH111" i="2" s="1"/>
  <c r="AE111" i="2"/>
  <c r="AF111" i="2"/>
  <c r="AD143" i="2"/>
  <c r="AF28" i="2"/>
  <c r="AG56" i="2"/>
  <c r="AE27" i="2"/>
  <c r="AJ27" i="2"/>
  <c r="AH27" i="2" s="1"/>
  <c r="AJ31" i="2"/>
  <c r="AI31" i="2"/>
  <c r="AH31" i="2" s="1"/>
  <c r="AG31" i="2"/>
  <c r="AJ38" i="2"/>
  <c r="AI38" i="2"/>
  <c r="AG38" i="2"/>
  <c r="AE42" i="2"/>
  <c r="AJ42" i="2"/>
  <c r="AH42" i="2" s="1"/>
  <c r="AF43" i="2"/>
  <c r="AF45" i="2"/>
  <c r="AG64" i="2"/>
  <c r="AB80" i="2"/>
  <c r="AC78" i="2"/>
  <c r="AD78" i="2" s="1"/>
  <c r="AF112" i="2"/>
  <c r="AJ112" i="2"/>
  <c r="AI112" i="2"/>
  <c r="AH112" i="2" s="1"/>
  <c r="AG120" i="2"/>
  <c r="AE120" i="2"/>
  <c r="AF120" i="2"/>
  <c r="AI120" i="2"/>
  <c r="AH120" i="2" s="1"/>
  <c r="AJ120" i="2"/>
  <c r="AJ130" i="2"/>
  <c r="AI130" i="2"/>
  <c r="AH130" i="2" s="1"/>
  <c r="AG130" i="2"/>
  <c r="AF130" i="2"/>
  <c r="AE130" i="2"/>
  <c r="AB207" i="2"/>
  <c r="AJ211" i="2"/>
  <c r="AI211" i="2"/>
  <c r="AG211" i="2"/>
  <c r="AF211" i="2"/>
  <c r="AE211" i="2"/>
  <c r="AG245" i="2"/>
  <c r="AF245" i="2"/>
  <c r="AE245" i="2"/>
  <c r="AJ245" i="2"/>
  <c r="AI245" i="2"/>
  <c r="AH245" i="2" s="1"/>
  <c r="AJ29" i="2"/>
  <c r="AI29" i="2"/>
  <c r="AH29" i="2" s="1"/>
  <c r="AI118" i="2"/>
  <c r="AF118" i="2"/>
  <c r="AJ118" i="2"/>
  <c r="AG118" i="2"/>
  <c r="AE118" i="2"/>
  <c r="AJ20" i="2"/>
  <c r="AI20" i="2"/>
  <c r="AD53" i="2"/>
  <c r="AC54" i="2"/>
  <c r="AD54" i="2" s="1"/>
  <c r="AC88" i="2"/>
  <c r="AD88" i="2" s="1"/>
  <c r="AJ19" i="2"/>
  <c r="AI19" i="2"/>
  <c r="AI77" i="2"/>
  <c r="AH77" i="2" s="1"/>
  <c r="AG77" i="2"/>
  <c r="AF77" i="2"/>
  <c r="AE77" i="2"/>
  <c r="AI86" i="2"/>
  <c r="AH86" i="2" s="1"/>
  <c r="AG86" i="2"/>
  <c r="AF86" i="2"/>
  <c r="AF103" i="2"/>
  <c r="Z52" i="2"/>
  <c r="AF55" i="2"/>
  <c r="AJ59" i="2"/>
  <c r="AJ5" i="2"/>
  <c r="AI5" i="2"/>
  <c r="AG14" i="2"/>
  <c r="AF14" i="2"/>
  <c r="AE14" i="2"/>
  <c r="AG43" i="2"/>
  <c r="AI51" i="2"/>
  <c r="AC72" i="2"/>
  <c r="Z74" i="2"/>
  <c r="AG87" i="2"/>
  <c r="AF87" i="2"/>
  <c r="AE87" i="2"/>
  <c r="AJ87" i="2"/>
  <c r="AI87" i="2"/>
  <c r="AH87" i="2" s="1"/>
  <c r="AG100" i="2"/>
  <c r="AF100" i="2"/>
  <c r="AE100" i="2"/>
  <c r="AJ100" i="2"/>
  <c r="AI100" i="2"/>
  <c r="AH100" i="2" s="1"/>
  <c r="AG134" i="2"/>
  <c r="AF134" i="2"/>
  <c r="AE134" i="2"/>
  <c r="AJ134" i="2"/>
  <c r="AI134" i="2"/>
  <c r="AH134" i="2" s="1"/>
  <c r="AJ147" i="2"/>
  <c r="AI147" i="2"/>
  <c r="AH147" i="2" s="1"/>
  <c r="AG147" i="2"/>
  <c r="AF147" i="2"/>
  <c r="AE147" i="2"/>
  <c r="AI160" i="2"/>
  <c r="AF160" i="2"/>
  <c r="AJ160" i="2"/>
  <c r="AG160" i="2"/>
  <c r="AE160" i="2"/>
  <c r="AG164" i="2"/>
  <c r="AE164" i="2"/>
  <c r="AI164" i="2"/>
  <c r="AF164" i="2"/>
  <c r="AJ164" i="2"/>
  <c r="AG179" i="2"/>
  <c r="AF179" i="2"/>
  <c r="AE179" i="2"/>
  <c r="AJ179" i="2"/>
  <c r="AI179" i="2"/>
  <c r="AH179" i="2" s="1"/>
  <c r="AI189" i="2"/>
  <c r="AG189" i="2"/>
  <c r="AF189" i="2"/>
  <c r="AJ189" i="2"/>
  <c r="AE189" i="2"/>
  <c r="AI225" i="2"/>
  <c r="AH225" i="2" s="1"/>
  <c r="AG225" i="2"/>
  <c r="AF225" i="2"/>
  <c r="AJ225" i="2"/>
  <c r="AG61" i="2"/>
  <c r="AF61" i="2"/>
  <c r="AE61" i="2"/>
  <c r="AG83" i="2"/>
  <c r="AF83" i="2"/>
  <c r="AE83" i="2"/>
  <c r="AJ83" i="2"/>
  <c r="AI83" i="2"/>
  <c r="AJ65" i="2"/>
  <c r="AI65" i="2"/>
  <c r="AD98" i="2"/>
  <c r="AE146" i="2"/>
  <c r="AJ146" i="2"/>
  <c r="AI146" i="2"/>
  <c r="AH146" i="2" s="1"/>
  <c r="AG146" i="2"/>
  <c r="AG15" i="2"/>
  <c r="AF15" i="2"/>
  <c r="AE15" i="2"/>
  <c r="AE20" i="2"/>
  <c r="AE28" i="2"/>
  <c r="AJ28" i="2"/>
  <c r="AH28" i="2" s="1"/>
  <c r="AE55" i="2"/>
  <c r="AJ73" i="2"/>
  <c r="AI73" i="2"/>
  <c r="AH73" i="2" s="1"/>
  <c r="AE73" i="2"/>
  <c r="AG73" i="2"/>
  <c r="AF73" i="2"/>
  <c r="AD81" i="2"/>
  <c r="AF20" i="2"/>
  <c r="AJ45" i="2"/>
  <c r="AI45" i="2"/>
  <c r="AF51" i="2"/>
  <c r="AI58" i="2"/>
  <c r="AH58" i="2" s="1"/>
  <c r="AG58" i="2"/>
  <c r="AF58" i="2"/>
  <c r="AF65" i="2"/>
  <c r="AH14" i="2"/>
  <c r="AJ21" i="2"/>
  <c r="AI21" i="2"/>
  <c r="AG21" i="2"/>
  <c r="AJ30" i="2"/>
  <c r="AI30" i="2"/>
  <c r="AJ37" i="2"/>
  <c r="AI37" i="2"/>
  <c r="AH37" i="2" s="1"/>
  <c r="AG40" i="2"/>
  <c r="AF40" i="2"/>
  <c r="AE40" i="2"/>
  <c r="U52" i="2"/>
  <c r="AJ49" i="2"/>
  <c r="AI49" i="2"/>
  <c r="AH49" i="2" s="1"/>
  <c r="AG49" i="2"/>
  <c r="AI57" i="2"/>
  <c r="AH57" i="2" s="1"/>
  <c r="AG57" i="2"/>
  <c r="AF57" i="2"/>
  <c r="AJ66" i="2"/>
  <c r="AI66" i="2"/>
  <c r="AH66" i="2" s="1"/>
  <c r="AG66" i="2"/>
  <c r="AJ68" i="2"/>
  <c r="AI68" i="2"/>
  <c r="AH68" i="2" s="1"/>
  <c r="AG68" i="2"/>
  <c r="AJ79" i="2"/>
  <c r="AI79" i="2"/>
  <c r="AH79" i="2" s="1"/>
  <c r="AF79" i="2"/>
  <c r="AG79" i="2"/>
  <c r="AC97" i="2"/>
  <c r="AD97" i="2" s="1"/>
  <c r="AD89" i="2"/>
  <c r="AG96" i="2"/>
  <c r="AF96" i="2"/>
  <c r="AE96" i="2"/>
  <c r="AI96" i="2"/>
  <c r="AH96" i="2" s="1"/>
  <c r="AJ96" i="2"/>
  <c r="AJ153" i="2"/>
  <c r="AI153" i="2"/>
  <c r="AH153" i="2" s="1"/>
  <c r="AG153" i="2"/>
  <c r="AF153" i="2"/>
  <c r="AE153" i="2"/>
  <c r="AJ200" i="2"/>
  <c r="AI200" i="2"/>
  <c r="AH200" i="2" s="1"/>
  <c r="AF200" i="2"/>
  <c r="AE200" i="2"/>
  <c r="AG200" i="2"/>
  <c r="AC207" i="2"/>
  <c r="AD207" i="2" s="1"/>
  <c r="AD202" i="2"/>
  <c r="AI206" i="2"/>
  <c r="AH206" i="2" s="1"/>
  <c r="AG206" i="2"/>
  <c r="AF206" i="2"/>
  <c r="AJ206" i="2"/>
  <c r="AE206" i="2"/>
  <c r="AI223" i="2"/>
  <c r="AG223" i="2"/>
  <c r="AF223" i="2"/>
  <c r="AJ223" i="2"/>
  <c r="AE223" i="2"/>
  <c r="AG226" i="2"/>
  <c r="AF226" i="2"/>
  <c r="AE226" i="2"/>
  <c r="AJ226" i="2"/>
  <c r="AI226" i="2"/>
  <c r="AI233" i="2"/>
  <c r="AG233" i="2"/>
  <c r="AF233" i="2"/>
  <c r="AJ233" i="2"/>
  <c r="AE233" i="2"/>
  <c r="AJ128" i="2"/>
  <c r="AI128" i="2"/>
  <c r="AH128" i="2" s="1"/>
  <c r="AG128" i="2"/>
  <c r="AB155" i="2"/>
  <c r="AG158" i="2"/>
  <c r="AI158" i="2"/>
  <c r="AH158" i="2" s="1"/>
  <c r="AF158" i="2"/>
  <c r="AE158" i="2"/>
  <c r="AJ158" i="2"/>
  <c r="AI212" i="2"/>
  <c r="AG212" i="2"/>
  <c r="AF212" i="2"/>
  <c r="AJ212" i="2"/>
  <c r="AE212" i="2"/>
  <c r="AD208" i="2"/>
  <c r="AC214" i="2"/>
  <c r="AD214" i="2" s="1"/>
  <c r="AB54" i="2"/>
  <c r="AC80" i="2"/>
  <c r="AD80" i="2" s="1"/>
  <c r="AD75" i="2"/>
  <c r="AE108" i="2"/>
  <c r="AJ108" i="2"/>
  <c r="AJ115" i="2"/>
  <c r="AI115" i="2"/>
  <c r="AH115" i="2" s="1"/>
  <c r="AG115" i="2"/>
  <c r="AI119" i="2"/>
  <c r="AH119" i="2" s="1"/>
  <c r="AF119" i="2"/>
  <c r="AE125" i="2"/>
  <c r="AJ125" i="2"/>
  <c r="AI125" i="2"/>
  <c r="AH125" i="2" s="1"/>
  <c r="AG125" i="2"/>
  <c r="AG135" i="2"/>
  <c r="AF135" i="2"/>
  <c r="AE135" i="2"/>
  <c r="AJ135" i="2"/>
  <c r="AI135" i="2"/>
  <c r="Z155" i="2"/>
  <c r="AC151" i="2"/>
  <c r="AD151" i="2" s="1"/>
  <c r="U177" i="2"/>
  <c r="AG184" i="2"/>
  <c r="AF184" i="2"/>
  <c r="AE184" i="2"/>
  <c r="AE204" i="2"/>
  <c r="AJ204" i="2"/>
  <c r="AI204" i="2"/>
  <c r="AH204" i="2" s="1"/>
  <c r="AG204" i="2"/>
  <c r="AJ231" i="2"/>
  <c r="AI231" i="2"/>
  <c r="AH231" i="2" s="1"/>
  <c r="AG231" i="2"/>
  <c r="AF231" i="2"/>
  <c r="AJ132" i="2"/>
  <c r="AI132" i="2"/>
  <c r="AG132" i="2"/>
  <c r="AE132" i="2"/>
  <c r="AJ170" i="2"/>
  <c r="AI170" i="2"/>
  <c r="AH170" i="2" s="1"/>
  <c r="AG170" i="2"/>
  <c r="AE170" i="2"/>
  <c r="AE16" i="2"/>
  <c r="AE17" i="2"/>
  <c r="AE26" i="2"/>
  <c r="AE62" i="2"/>
  <c r="AJ93" i="2"/>
  <c r="AI93" i="2"/>
  <c r="AH93" i="2" s="1"/>
  <c r="AG99" i="2"/>
  <c r="AF99" i="2"/>
  <c r="AE99" i="2"/>
  <c r="AE102" i="2"/>
  <c r="AJ102" i="2"/>
  <c r="AH102" i="2" s="1"/>
  <c r="AE104" i="2"/>
  <c r="AJ104" i="2"/>
  <c r="AH104" i="2" s="1"/>
  <c r="AB110" i="2"/>
  <c r="AF108" i="2"/>
  <c r="AE113" i="2"/>
  <c r="AJ113" i="2"/>
  <c r="AI113" i="2"/>
  <c r="AE115" i="2"/>
  <c r="AE119" i="2"/>
  <c r="AC121" i="2"/>
  <c r="AD121" i="2" s="1"/>
  <c r="AB122" i="2"/>
  <c r="AF125" i="2"/>
  <c r="AF128" i="2"/>
  <c r="AJ131" i="2"/>
  <c r="AI131" i="2"/>
  <c r="AJ177" i="2"/>
  <c r="AI177" i="2"/>
  <c r="AH177" i="2" s="1"/>
  <c r="AG177" i="2"/>
  <c r="AF177" i="2"/>
  <c r="AE177" i="2"/>
  <c r="AI184" i="2"/>
  <c r="AF204" i="2"/>
  <c r="AG213" i="2"/>
  <c r="AF213" i="2"/>
  <c r="AE213" i="2"/>
  <c r="AJ213" i="2"/>
  <c r="AH213" i="2" s="1"/>
  <c r="Z214" i="2"/>
  <c r="AE231" i="2"/>
  <c r="AJ176" i="2"/>
  <c r="AI176" i="2"/>
  <c r="AG176" i="2"/>
  <c r="AE176" i="2"/>
  <c r="AG90" i="2"/>
  <c r="AF90" i="2"/>
  <c r="AE90" i="2"/>
  <c r="AE93" i="2"/>
  <c r="AF102" i="2"/>
  <c r="AF104" i="2"/>
  <c r="AC107" i="2"/>
  <c r="AG108" i="2"/>
  <c r="AF113" i="2"/>
  <c r="AF115" i="2"/>
  <c r="AI117" i="2"/>
  <c r="AH117" i="2" s="1"/>
  <c r="AF117" i="2"/>
  <c r="AE117" i="2"/>
  <c r="AG119" i="2"/>
  <c r="AE131" i="2"/>
  <c r="AG136" i="2"/>
  <c r="AF136" i="2"/>
  <c r="AE136" i="2"/>
  <c r="AJ183" i="2"/>
  <c r="AI183" i="2"/>
  <c r="AH183" i="2" s="1"/>
  <c r="AG183" i="2"/>
  <c r="AF183" i="2"/>
  <c r="AJ184" i="2"/>
  <c r="AJ209" i="2"/>
  <c r="AI209" i="2"/>
  <c r="AH209" i="2" s="1"/>
  <c r="AC229" i="2"/>
  <c r="AJ242" i="2"/>
  <c r="AI242" i="2"/>
  <c r="AH242" i="2" s="1"/>
  <c r="AE242" i="2"/>
  <c r="U122" i="2"/>
  <c r="AG137" i="2"/>
  <c r="AF137" i="2"/>
  <c r="AE137" i="2"/>
  <c r="AJ142" i="2"/>
  <c r="AI142" i="2"/>
  <c r="AH142" i="2" s="1"/>
  <c r="AJ169" i="2"/>
  <c r="AI169" i="2"/>
  <c r="AJ188" i="2"/>
  <c r="AI188" i="2"/>
  <c r="AH188" i="2" s="1"/>
  <c r="AG188" i="2"/>
  <c r="AH194" i="2"/>
  <c r="AJ199" i="2"/>
  <c r="AI199" i="2"/>
  <c r="AH199" i="2" s="1"/>
  <c r="AG199" i="2"/>
  <c r="AF199" i="2"/>
  <c r="Z224" i="2"/>
  <c r="AJ222" i="2"/>
  <c r="AI222" i="2"/>
  <c r="AH222" i="2" s="1"/>
  <c r="AG222" i="2"/>
  <c r="Z234" i="2"/>
  <c r="AC234" i="2" s="1"/>
  <c r="AD234" i="2" s="1"/>
  <c r="AG249" i="2"/>
  <c r="AF249" i="2"/>
  <c r="AE249" i="2"/>
  <c r="AJ249" i="2"/>
  <c r="AG163" i="2"/>
  <c r="AE163" i="2"/>
  <c r="AJ163" i="2"/>
  <c r="AI163" i="2"/>
  <c r="AF163" i="2"/>
  <c r="AJ167" i="2"/>
  <c r="AI167" i="2"/>
  <c r="AG167" i="2"/>
  <c r="AF167" i="2"/>
  <c r="AE167" i="2"/>
  <c r="AI171" i="2"/>
  <c r="AH171" i="2" s="1"/>
  <c r="AG171" i="2"/>
  <c r="AF171" i="2"/>
  <c r="AJ171" i="2"/>
  <c r="AE171" i="2"/>
  <c r="U235" i="2"/>
  <c r="AG246" i="2"/>
  <c r="AF246" i="2"/>
  <c r="AE246" i="2"/>
  <c r="AJ246" i="2"/>
  <c r="AI246" i="2"/>
  <c r="AH246" i="2" s="1"/>
  <c r="AE91" i="2"/>
  <c r="AE101" i="2"/>
  <c r="AF123" i="2"/>
  <c r="AE123" i="2"/>
  <c r="AI137" i="2"/>
  <c r="AH137" i="2" s="1"/>
  <c r="AF142" i="2"/>
  <c r="AG150" i="2"/>
  <c r="AF150" i="2"/>
  <c r="AE150" i="2"/>
  <c r="AC161" i="2"/>
  <c r="AD161" i="2" s="1"/>
  <c r="AF169" i="2"/>
  <c r="AE187" i="2"/>
  <c r="AJ187" i="2"/>
  <c r="AI187" i="2"/>
  <c r="AH187" i="2" s="1"/>
  <c r="AF188" i="2"/>
  <c r="AJ230" i="2"/>
  <c r="AI230" i="2"/>
  <c r="AH230" i="2" s="1"/>
  <c r="AG230" i="2"/>
  <c r="AF230" i="2"/>
  <c r="AJ232" i="2"/>
  <c r="AI232" i="2"/>
  <c r="AH232" i="2" s="1"/>
  <c r="AG232" i="2"/>
  <c r="AJ239" i="2"/>
  <c r="AI239" i="2"/>
  <c r="AH239" i="2" s="1"/>
  <c r="AF239" i="2"/>
  <c r="AE239" i="2"/>
  <c r="AI249" i="2"/>
  <c r="AH249" i="2" s="1"/>
  <c r="AG123" i="2"/>
  <c r="AC139" i="2"/>
  <c r="AD139" i="2" s="1"/>
  <c r="AJ137" i="2"/>
  <c r="AG142" i="2"/>
  <c r="AD159" i="2"/>
  <c r="AG169" i="2"/>
  <c r="AE174" i="2"/>
  <c r="AJ174" i="2"/>
  <c r="AI174" i="2"/>
  <c r="AH174" i="2" s="1"/>
  <c r="AE181" i="2"/>
  <c r="AJ181" i="2"/>
  <c r="AI181" i="2"/>
  <c r="AH181" i="2" s="1"/>
  <c r="AG181" i="2"/>
  <c r="AF187" i="2"/>
  <c r="AE195" i="2"/>
  <c r="AJ195" i="2"/>
  <c r="AI195" i="2"/>
  <c r="AH195" i="2" s="1"/>
  <c r="AG195" i="2"/>
  <c r="AF195" i="2"/>
  <c r="AJ201" i="2"/>
  <c r="AI201" i="2"/>
  <c r="AH201" i="2" s="1"/>
  <c r="AG201" i="2"/>
  <c r="AF201" i="2"/>
  <c r="AJ219" i="2"/>
  <c r="AI219" i="2"/>
  <c r="AH219" i="2" s="1"/>
  <c r="AG219" i="2"/>
  <c r="AG228" i="2"/>
  <c r="AF228" i="2"/>
  <c r="AE228" i="2"/>
  <c r="AG227" i="2"/>
  <c r="AF227" i="2"/>
  <c r="AE227" i="2"/>
  <c r="AJ227" i="2"/>
  <c r="AI227" i="2"/>
  <c r="AH227" i="2" s="1"/>
  <c r="AE230" i="2"/>
  <c r="AE232" i="2"/>
  <c r="AC244" i="2"/>
  <c r="AA168" i="2"/>
  <c r="AC165" i="2"/>
  <c r="AE166" i="2"/>
  <c r="AJ166" i="2"/>
  <c r="AH166" i="2" s="1"/>
  <c r="AJ241" i="2"/>
  <c r="AI241" i="2"/>
  <c r="AC251" i="2"/>
  <c r="AD251" i="2" s="1"/>
  <c r="AC126" i="2"/>
  <c r="AD126" i="2" s="1"/>
  <c r="AI162" i="2"/>
  <c r="AH162" i="2" s="1"/>
  <c r="AF162" i="2"/>
  <c r="AG185" i="2"/>
  <c r="AF185" i="2"/>
  <c r="AE185" i="2"/>
  <c r="AC196" i="2"/>
  <c r="AD196" i="2" s="1"/>
  <c r="AC224" i="2"/>
  <c r="AD224" i="2" s="1"/>
  <c r="AE241" i="2"/>
  <c r="AJ243" i="2"/>
  <c r="AI243" i="2"/>
  <c r="AH243" i="2" s="1"/>
  <c r="AG248" i="2"/>
  <c r="AF248" i="2"/>
  <c r="AE248" i="2"/>
  <c r="AE124" i="2"/>
  <c r="AD127" i="2"/>
  <c r="AE138" i="2"/>
  <c r="AE140" i="2"/>
  <c r="AE162" i="2"/>
  <c r="AJ175" i="2"/>
  <c r="AI175" i="2"/>
  <c r="AH175" i="2" s="1"/>
  <c r="AC178" i="2"/>
  <c r="AI191" i="2"/>
  <c r="AH191" i="2" s="1"/>
  <c r="AG191" i="2"/>
  <c r="AF191" i="2"/>
  <c r="AF241" i="2"/>
  <c r="AE243" i="2"/>
  <c r="AI248" i="2"/>
  <c r="AH248" i="2" s="1"/>
  <c r="AJ250" i="2"/>
  <c r="AI250" i="2"/>
  <c r="AH250" i="2" s="1"/>
  <c r="AG162" i="2"/>
  <c r="AE175" i="2"/>
  <c r="AI185" i="2"/>
  <c r="AH185" i="2" s="1"/>
  <c r="AE191" i="2"/>
  <c r="AG193" i="2"/>
  <c r="AF193" i="2"/>
  <c r="AE193" i="2"/>
  <c r="AJ210" i="2"/>
  <c r="AI210" i="2"/>
  <c r="AC218" i="2"/>
  <c r="AD218" i="2" s="1"/>
  <c r="AD215" i="2"/>
  <c r="AG241" i="2"/>
  <c r="AF243" i="2"/>
  <c r="AJ248" i="2"/>
  <c r="Z168" i="2"/>
  <c r="AE173" i="2"/>
  <c r="AE186" i="2"/>
  <c r="AE194" i="2"/>
  <c r="AD197" i="2"/>
  <c r="AE216" i="2"/>
  <c r="AD236" i="2"/>
  <c r="AF208" i="2" l="1"/>
  <c r="AE208" i="2"/>
  <c r="AJ208" i="2"/>
  <c r="AI208" i="2"/>
  <c r="AH208" i="2" s="1"/>
  <c r="AG208" i="2"/>
  <c r="AC122" i="2"/>
  <c r="AD122" i="2" s="1"/>
  <c r="AJ54" i="2"/>
  <c r="AI54" i="2"/>
  <c r="AH54" i="2" s="1"/>
  <c r="AG54" i="2"/>
  <c r="AF54" i="2"/>
  <c r="AE54" i="2"/>
  <c r="AD107" i="2"/>
  <c r="AC110" i="2"/>
  <c r="AD110" i="2" s="1"/>
  <c r="AH233" i="2"/>
  <c r="AG98" i="2"/>
  <c r="AF98" i="2"/>
  <c r="AE98" i="2"/>
  <c r="AI98" i="2"/>
  <c r="AJ98" i="2"/>
  <c r="AH154" i="2"/>
  <c r="AI161" i="2"/>
  <c r="AF161" i="2"/>
  <c r="AJ161" i="2"/>
  <c r="AG161" i="2"/>
  <c r="AE161" i="2"/>
  <c r="AH167" i="2"/>
  <c r="AH169" i="2"/>
  <c r="AH176" i="2"/>
  <c r="AH131" i="2"/>
  <c r="AH113" i="2"/>
  <c r="AH132" i="2"/>
  <c r="AH135" i="2"/>
  <c r="AE75" i="2"/>
  <c r="AJ75" i="2"/>
  <c r="AG75" i="2"/>
  <c r="AF75" i="2"/>
  <c r="AI75" i="2"/>
  <c r="AH75" i="2" s="1"/>
  <c r="AH226" i="2"/>
  <c r="AI207" i="2"/>
  <c r="AH207" i="2" s="1"/>
  <c r="AG207" i="2"/>
  <c r="AF207" i="2"/>
  <c r="AJ207" i="2"/>
  <c r="AE207" i="2"/>
  <c r="AG89" i="2"/>
  <c r="AF89" i="2"/>
  <c r="AE89" i="2"/>
  <c r="AJ89" i="2"/>
  <c r="AI89" i="2"/>
  <c r="AH89" i="2" s="1"/>
  <c r="AH30" i="2"/>
  <c r="AH65" i="2"/>
  <c r="AD72" i="2"/>
  <c r="AC74" i="2"/>
  <c r="AD74" i="2" s="1"/>
  <c r="AH20" i="2"/>
  <c r="AJ84" i="2"/>
  <c r="AI84" i="2"/>
  <c r="AH84" i="2" s="1"/>
  <c r="AG84" i="2"/>
  <c r="AF84" i="2"/>
  <c r="AE84" i="2"/>
  <c r="AI69" i="2"/>
  <c r="AG69" i="2"/>
  <c r="AF69" i="2"/>
  <c r="AJ69" i="2"/>
  <c r="AE69" i="2"/>
  <c r="AH32" i="2"/>
  <c r="AF139" i="2"/>
  <c r="AE139" i="2"/>
  <c r="AG139" i="2"/>
  <c r="AI139" i="2"/>
  <c r="AJ139" i="2"/>
  <c r="AD229" i="2"/>
  <c r="AC235" i="2"/>
  <c r="AD235" i="2" s="1"/>
  <c r="AG88" i="2"/>
  <c r="AF88" i="2"/>
  <c r="AE88" i="2"/>
  <c r="AJ88" i="2"/>
  <c r="AI88" i="2"/>
  <c r="AH88" i="2" s="1"/>
  <c r="AH118" i="2"/>
  <c r="AJ67" i="2"/>
  <c r="AI67" i="2"/>
  <c r="AH67" i="2" s="1"/>
  <c r="AG67" i="2"/>
  <c r="AF67" i="2"/>
  <c r="AE67" i="2"/>
  <c r="AG109" i="2"/>
  <c r="AJ109" i="2"/>
  <c r="AI109" i="2"/>
  <c r="AH109" i="2" s="1"/>
  <c r="AF109" i="2"/>
  <c r="AE109" i="2"/>
  <c r="AJ10" i="2"/>
  <c r="AJ12" i="2" s="1"/>
  <c r="AI10" i="2"/>
  <c r="AG10" i="2"/>
  <c r="AG12" i="2" s="1"/>
  <c r="AF10" i="2"/>
  <c r="AF12" i="2" s="1"/>
  <c r="AD12" i="2"/>
  <c r="AE10" i="2"/>
  <c r="AE12" i="2" s="1"/>
  <c r="AI105" i="2"/>
  <c r="AH105" i="2" s="1"/>
  <c r="AG105" i="2"/>
  <c r="AF105" i="2"/>
  <c r="AJ105" i="2"/>
  <c r="AE105" i="2"/>
  <c r="AG215" i="2"/>
  <c r="AF215" i="2"/>
  <c r="AE215" i="2"/>
  <c r="AI215" i="2"/>
  <c r="AJ215" i="2"/>
  <c r="AE126" i="2"/>
  <c r="AJ126" i="2"/>
  <c r="AF126" i="2"/>
  <c r="AG126" i="2"/>
  <c r="AI126" i="2"/>
  <c r="AH126" i="2" s="1"/>
  <c r="AD244" i="2"/>
  <c r="AC247" i="2"/>
  <c r="AD247" i="2" s="1"/>
  <c r="AG159" i="2"/>
  <c r="AJ159" i="2"/>
  <c r="AI159" i="2"/>
  <c r="AF159" i="2"/>
  <c r="AE159" i="2"/>
  <c r="AH184" i="2"/>
  <c r="AJ80" i="2"/>
  <c r="AI80" i="2"/>
  <c r="AH80" i="2" s="1"/>
  <c r="AG80" i="2"/>
  <c r="AF80" i="2"/>
  <c r="AE80" i="2"/>
  <c r="AH212" i="2"/>
  <c r="AH223" i="2"/>
  <c r="AG97" i="2"/>
  <c r="AF97" i="2"/>
  <c r="AE97" i="2"/>
  <c r="AI97" i="2"/>
  <c r="AJ97" i="2"/>
  <c r="AH51" i="2"/>
  <c r="AH211" i="2"/>
  <c r="AG78" i="2"/>
  <c r="AF78" i="2"/>
  <c r="AE78" i="2"/>
  <c r="AJ78" i="2"/>
  <c r="AI78" i="2"/>
  <c r="AH78" i="2" s="1"/>
  <c r="AH38" i="2"/>
  <c r="AH103" i="2"/>
  <c r="AC155" i="2"/>
  <c r="AD155" i="2" s="1"/>
  <c r="AH8" i="2"/>
  <c r="AE236" i="2"/>
  <c r="AJ236" i="2"/>
  <c r="AI236" i="2"/>
  <c r="AH236" i="2" s="1"/>
  <c r="AF236" i="2"/>
  <c r="AG236" i="2"/>
  <c r="AG202" i="2"/>
  <c r="AF202" i="2"/>
  <c r="AE202" i="2"/>
  <c r="AJ202" i="2"/>
  <c r="AI202" i="2"/>
  <c r="AH202" i="2" s="1"/>
  <c r="AC52" i="2"/>
  <c r="AD52" i="2" s="1"/>
  <c r="AD46" i="2"/>
  <c r="AE197" i="2"/>
  <c r="AJ197" i="2"/>
  <c r="AI197" i="2"/>
  <c r="AG197" i="2"/>
  <c r="AF197" i="2"/>
  <c r="AE127" i="2"/>
  <c r="AJ127" i="2"/>
  <c r="AI127" i="2"/>
  <c r="AH127" i="2" s="1"/>
  <c r="AG127" i="2"/>
  <c r="AF127" i="2"/>
  <c r="AJ251" i="2"/>
  <c r="AI251" i="2"/>
  <c r="AH251" i="2" s="1"/>
  <c r="AG251" i="2"/>
  <c r="AF251" i="2"/>
  <c r="AE251" i="2"/>
  <c r="AH160" i="2"/>
  <c r="AJ143" i="2"/>
  <c r="AI143" i="2"/>
  <c r="AG143" i="2"/>
  <c r="AF143" i="2"/>
  <c r="AE143" i="2"/>
  <c r="AI13" i="2"/>
  <c r="AG13" i="2"/>
  <c r="AF13" i="2"/>
  <c r="AJ13" i="2"/>
  <c r="AE13" i="2"/>
  <c r="AG149" i="2"/>
  <c r="AF149" i="2"/>
  <c r="AE149" i="2"/>
  <c r="AJ149" i="2"/>
  <c r="AI149" i="2"/>
  <c r="AH149" i="2" s="1"/>
  <c r="AH59" i="2"/>
  <c r="AH11" i="2"/>
  <c r="AD178" i="2"/>
  <c r="AC190" i="2"/>
  <c r="AD190" i="2" s="1"/>
  <c r="AF121" i="2"/>
  <c r="AE121" i="2"/>
  <c r="AI121" i="2"/>
  <c r="AG121" i="2"/>
  <c r="AJ121" i="2"/>
  <c r="AE151" i="2"/>
  <c r="AJ151" i="2"/>
  <c r="AI151" i="2"/>
  <c r="AG151" i="2"/>
  <c r="AF151" i="2"/>
  <c r="AJ81" i="2"/>
  <c r="AI81" i="2"/>
  <c r="AH81" i="2" s="1"/>
  <c r="AG81" i="2"/>
  <c r="AE81" i="2"/>
  <c r="AF81" i="2"/>
  <c r="AH5" i="2"/>
  <c r="AC168" i="2"/>
  <c r="AD168" i="2" s="1"/>
  <c r="AD165" i="2"/>
  <c r="AJ9" i="2"/>
  <c r="AJ53" i="2"/>
  <c r="AI53" i="2"/>
  <c r="AH53" i="2" s="1"/>
  <c r="AF53" i="2"/>
  <c r="AG53" i="2"/>
  <c r="AE53" i="2"/>
  <c r="AJ44" i="2"/>
  <c r="AI44" i="2"/>
  <c r="AH44" i="2" s="1"/>
  <c r="AE44" i="2"/>
  <c r="AF44" i="2"/>
  <c r="AG44" i="2"/>
  <c r="AE218" i="2"/>
  <c r="AJ218" i="2"/>
  <c r="AF218" i="2"/>
  <c r="AI218" i="2"/>
  <c r="AH218" i="2" s="1"/>
  <c r="AG218" i="2"/>
  <c r="AI224" i="2"/>
  <c r="AH224" i="2" s="1"/>
  <c r="AG224" i="2"/>
  <c r="AF224" i="2"/>
  <c r="AE224" i="2"/>
  <c r="AJ224" i="2"/>
  <c r="AH210" i="2"/>
  <c r="AE196" i="2"/>
  <c r="AJ196" i="2"/>
  <c r="AF196" i="2"/>
  <c r="AG196" i="2"/>
  <c r="AI196" i="2"/>
  <c r="AH196" i="2" s="1"/>
  <c r="AH241" i="2"/>
  <c r="AH163" i="2"/>
  <c r="AE234" i="2"/>
  <c r="AJ234" i="2"/>
  <c r="AI234" i="2"/>
  <c r="AH234" i="2" s="1"/>
  <c r="AG234" i="2"/>
  <c r="AF234" i="2"/>
  <c r="Z235" i="2"/>
  <c r="AG214" i="2"/>
  <c r="AF214" i="2"/>
  <c r="AE214" i="2"/>
  <c r="AJ214" i="2"/>
  <c r="AI214" i="2"/>
  <c r="AH214" i="2" s="1"/>
  <c r="AH21" i="2"/>
  <c r="AH45" i="2"/>
  <c r="AH83" i="2"/>
  <c r="AH189" i="2"/>
  <c r="AH164" i="2"/>
  <c r="AH19" i="2"/>
  <c r="AJ6" i="2"/>
  <c r="AI6" i="2"/>
  <c r="AH6" i="2" s="1"/>
  <c r="AG6" i="2"/>
  <c r="AG9" i="2" s="1"/>
  <c r="AF6" i="2"/>
  <c r="AF9" i="2" s="1"/>
  <c r="AE6" i="2"/>
  <c r="AE9" i="2" s="1"/>
  <c r="AD9" i="2"/>
  <c r="AH94" i="2"/>
  <c r="AH25" i="2"/>
  <c r="AH157" i="2"/>
  <c r="AH39" i="2"/>
  <c r="AH50" i="2"/>
  <c r="AF122" i="2" l="1"/>
  <c r="AE122" i="2"/>
  <c r="AJ122" i="2"/>
  <c r="AG122" i="2"/>
  <c r="AI122" i="2"/>
  <c r="AH122" i="2" s="1"/>
  <c r="AH13" i="2"/>
  <c r="AG110" i="2"/>
  <c r="AJ110" i="2"/>
  <c r="AI110" i="2"/>
  <c r="AE110" i="2"/>
  <c r="AF110" i="2"/>
  <c r="AJ168" i="2"/>
  <c r="AI168" i="2"/>
  <c r="AH168" i="2" s="1"/>
  <c r="AG168" i="2"/>
  <c r="AF168" i="2"/>
  <c r="AE168" i="2"/>
  <c r="AH139" i="2"/>
  <c r="AE74" i="2"/>
  <c r="AJ74" i="2"/>
  <c r="AI74" i="2"/>
  <c r="AH74" i="2" s="1"/>
  <c r="AG74" i="2"/>
  <c r="AF74" i="2"/>
  <c r="AG107" i="2"/>
  <c r="AF107" i="2"/>
  <c r="AE107" i="2"/>
  <c r="AJ107" i="2"/>
  <c r="AI107" i="2"/>
  <c r="AH107" i="2" s="1"/>
  <c r="AH215" i="2"/>
  <c r="AE229" i="2"/>
  <c r="AJ229" i="2"/>
  <c r="AG229" i="2"/>
  <c r="AF229" i="2"/>
  <c r="AI229" i="2"/>
  <c r="AF165" i="2"/>
  <c r="AE165" i="2"/>
  <c r="AG165" i="2"/>
  <c r="AJ165" i="2"/>
  <c r="AI165" i="2"/>
  <c r="AH165" i="2" s="1"/>
  <c r="AH9" i="2"/>
  <c r="AH69" i="2"/>
  <c r="AE72" i="2"/>
  <c r="AI72" i="2"/>
  <c r="AG72" i="2"/>
  <c r="AF72" i="2"/>
  <c r="AJ72" i="2"/>
  <c r="AI46" i="2"/>
  <c r="AH46" i="2" s="1"/>
  <c r="AG46" i="2"/>
  <c r="AF46" i="2"/>
  <c r="AJ46" i="2"/>
  <c r="AE46" i="2"/>
  <c r="AE235" i="2"/>
  <c r="AJ235" i="2"/>
  <c r="AG235" i="2"/>
  <c r="AF235" i="2"/>
  <c r="AI235" i="2"/>
  <c r="AH235" i="2" s="1"/>
  <c r="AE52" i="2"/>
  <c r="AJ52" i="2"/>
  <c r="AG52" i="2"/>
  <c r="AF52" i="2"/>
  <c r="AI52" i="2"/>
  <c r="AG247" i="2"/>
  <c r="AF247" i="2"/>
  <c r="AE247" i="2"/>
  <c r="AI247" i="2"/>
  <c r="AH247" i="2" s="1"/>
  <c r="AJ247" i="2"/>
  <c r="AI244" i="2"/>
  <c r="AG244" i="2"/>
  <c r="AF244" i="2"/>
  <c r="AJ244" i="2"/>
  <c r="AE244" i="2"/>
  <c r="AH161" i="2"/>
  <c r="AI9" i="2"/>
  <c r="AH151" i="2"/>
  <c r="AI190" i="2"/>
  <c r="AG190" i="2"/>
  <c r="AF190" i="2"/>
  <c r="AJ190" i="2"/>
  <c r="AE190" i="2"/>
  <c r="AH197" i="2"/>
  <c r="AI155" i="2"/>
  <c r="AH155" i="2" s="1"/>
  <c r="AG155" i="2"/>
  <c r="AF155" i="2"/>
  <c r="AJ155" i="2"/>
  <c r="AE155" i="2"/>
  <c r="AH98" i="2"/>
  <c r="AH97" i="2"/>
  <c r="AH121" i="2"/>
  <c r="AI178" i="2"/>
  <c r="AH178" i="2" s="1"/>
  <c r="AG178" i="2"/>
  <c r="AF178" i="2"/>
  <c r="AJ178" i="2"/>
  <c r="AE178" i="2"/>
  <c r="AH143" i="2"/>
  <c r="AH159" i="2"/>
  <c r="AI12" i="2"/>
  <c r="AH10" i="2"/>
  <c r="AH12" i="2" s="1"/>
  <c r="AH52" i="2" l="1"/>
  <c r="AH190" i="2"/>
  <c r="AH244" i="2"/>
  <c r="AH72" i="2"/>
  <c r="AH229" i="2"/>
  <c r="AH110" i="2"/>
</calcChain>
</file>

<file path=xl/comments1.xml><?xml version="1.0" encoding="utf-8"?>
<comments xmlns="http://schemas.openxmlformats.org/spreadsheetml/2006/main">
  <authors>
    <author>Автор</author>
  </authors>
  <commentList>
    <comment ref="J61" authorId="0" shapeId="0">
      <text>
        <r>
          <rPr>
            <sz val="9"/>
            <color indexed="81"/>
            <rFont val="Tahoma"/>
            <family val="2"/>
            <charset val="204"/>
          </rPr>
          <t>Правый берег -охота разрешена</t>
        </r>
      </text>
    </comment>
    <comment ref="AM61" authorId="0" shapeId="0">
      <text>
        <r>
          <rPr>
            <sz val="9"/>
            <color indexed="81"/>
            <rFont val="Tahoma"/>
            <family val="2"/>
            <charset val="204"/>
          </rPr>
          <t>Правый берег -охота разрешена</t>
        </r>
      </text>
    </comment>
    <comment ref="J6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Правый берег -охота разрешена
</t>
        </r>
      </text>
    </comment>
    <comment ref="AM6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Правый берег -охота разрешена
</t>
        </r>
      </text>
    </comment>
  </commentList>
</comments>
</file>

<file path=xl/sharedStrings.xml><?xml version="1.0" encoding="utf-8"?>
<sst xmlns="http://schemas.openxmlformats.org/spreadsheetml/2006/main" count="1683" uniqueCount="515">
  <si>
    <t>№ п/п</t>
  </si>
  <si>
    <t>Наименование муниципального района Красноярского края</t>
  </si>
  <si>
    <t>Наименование закрепленного охотничьего угодья, общедоступных охотничьих угодий муниципальных районов и иной территории, являющейся средой обитания охотничьих ресурсов</t>
  </si>
  <si>
    <t>ФИО руководителя</t>
  </si>
  <si>
    <t>Реквизиты охотхозяйственного соглашения (ОХС)</t>
  </si>
  <si>
    <t>Срок действия долгосрочной лицензии (ДЛ)</t>
  </si>
  <si>
    <t>Право на добычу лимитируемых охотничьих ресурсов</t>
  </si>
  <si>
    <t>Площадь групп каждой категории среды обитания (тыс.га)</t>
  </si>
  <si>
    <t>Минимально необходимая протяженность учетных марштрутов, км</t>
  </si>
  <si>
    <t>Количество маршрутов, шт.</t>
  </si>
  <si>
    <t>Площадь, свойственная для обитания вида, тыс.га</t>
  </si>
  <si>
    <t>Лось</t>
  </si>
  <si>
    <t>Марал</t>
  </si>
  <si>
    <t>Косуля</t>
  </si>
  <si>
    <t>Кабарга</t>
  </si>
  <si>
    <t>Кабан</t>
  </si>
  <si>
    <t>ДСО</t>
  </si>
  <si>
    <t>Козерог</t>
  </si>
  <si>
    <t>Медведь</t>
  </si>
  <si>
    <t>Рысь</t>
  </si>
  <si>
    <t>Соболь</t>
  </si>
  <si>
    <t>Барсук</t>
  </si>
  <si>
    <t>Выдра</t>
  </si>
  <si>
    <t>Примечание</t>
  </si>
  <si>
    <t>Всего</t>
  </si>
  <si>
    <t>ЛФ</t>
  </si>
  <si>
    <t>СХН</t>
  </si>
  <si>
    <t xml:space="preserve">Иные </t>
  </si>
  <si>
    <t xml:space="preserve">Примечание </t>
  </si>
  <si>
    <t>лес</t>
  </si>
  <si>
    <t>поле</t>
  </si>
  <si>
    <t>болото</t>
  </si>
  <si>
    <t>Общая</t>
  </si>
  <si>
    <t>Лес</t>
  </si>
  <si>
    <t>Поле</t>
  </si>
  <si>
    <t>Болото</t>
  </si>
  <si>
    <t xml:space="preserve">среднее (дл.м-та 10 км) </t>
  </si>
  <si>
    <t>минимальное                              (дл.м-та 15 км)</t>
  </si>
  <si>
    <t>максимальное                            (дл.м-та                         5 км)</t>
  </si>
  <si>
    <t>Дата</t>
  </si>
  <si>
    <t>№ 24/ОС-</t>
  </si>
  <si>
    <t>Итого в Красноярском крае</t>
  </si>
  <si>
    <t xml:space="preserve">Абанский </t>
  </si>
  <si>
    <t>Общедоступные охотничьи угодья</t>
  </si>
  <si>
    <t>Местная общественная организация охотников и рыболовов Абанского района</t>
  </si>
  <si>
    <t>х</t>
  </si>
  <si>
    <t>лось, марал, косуля, медведь, соболь, рысь, барсук, выдра</t>
  </si>
  <si>
    <t>Общество с ограниченной ответственностью «Сибохота»</t>
  </si>
  <si>
    <t xml:space="preserve">Островский Виктор Алексадрович </t>
  </si>
  <si>
    <t>Красноярская региональная общественная организация охотников  «Охотничья тропа»</t>
  </si>
  <si>
    <t xml:space="preserve">района нет в соглашении </t>
  </si>
  <si>
    <t xml:space="preserve"> х</t>
  </si>
  <si>
    <t>Итого по району</t>
  </si>
  <si>
    <t>Ачинский</t>
  </si>
  <si>
    <t>Ачинская межрайонная общественная организация охотников и рыболовов</t>
  </si>
  <si>
    <t xml:space="preserve">Фрибус Михаил Александрович </t>
  </si>
  <si>
    <t>медведь, лось, марал, косуля, рысь, соболь, барсук</t>
  </si>
  <si>
    <t>Балахтинский (левый берег                                          р. Енисей)</t>
  </si>
  <si>
    <t xml:space="preserve">Общедоступные охотничьи угодья </t>
  </si>
  <si>
    <t>Общество с ограниченной ответственностью «Белогорье»</t>
  </si>
  <si>
    <r>
      <t xml:space="preserve">Трофимов </t>
    </r>
    <r>
      <rPr>
        <sz val="8"/>
        <color theme="5" tint="0.39997558519241921"/>
        <rFont val="Times New Roman"/>
        <family val="1"/>
        <charset val="204"/>
      </rPr>
      <t xml:space="preserve">Дмитрий </t>
    </r>
    <r>
      <rPr>
        <sz val="8"/>
        <color theme="1"/>
        <rFont val="Times New Roman"/>
        <family val="1"/>
        <charset val="204"/>
      </rPr>
      <t xml:space="preserve">Александрович </t>
    </r>
  </si>
  <si>
    <t>01.12.2011                     01.12.2011</t>
  </si>
  <si>
    <t>30 и 31</t>
  </si>
  <si>
    <t>медведь, лось, марал, косуля, кабарга, кабан, рысь, соболь, барсук, выдра</t>
  </si>
  <si>
    <t>Общество с ограниченной ответственностью «Езагаш»</t>
  </si>
  <si>
    <t>Нестеров Валерий Владимирович</t>
  </si>
  <si>
    <t>лось, марал, косуля, кабарга, соболь</t>
  </si>
  <si>
    <t xml:space="preserve">х </t>
  </si>
  <si>
    <t>Закрытое акционерное общество «Жилищная коммунальная компания»</t>
  </si>
  <si>
    <t xml:space="preserve">Дутов Денис Владимирович </t>
  </si>
  <si>
    <t>медведь, лось, марал, косуля, кабарга, рысь, соболь</t>
  </si>
  <si>
    <t xml:space="preserve">Местная общественная организация охотников и рыболовов Балахтинского района </t>
  </si>
  <si>
    <t xml:space="preserve">лось, марал, косуля, кабарга, соболь, выдра, рысь, </t>
  </si>
  <si>
    <t xml:space="preserve"> *</t>
  </si>
  <si>
    <t>Общество с ограниченной ответственностью «Жура»</t>
  </si>
  <si>
    <r>
      <t xml:space="preserve">Трофимов </t>
    </r>
    <r>
      <rPr>
        <sz val="8"/>
        <color theme="3" tint="0.39997558519241921"/>
        <rFont val="Times New Roman"/>
        <family val="1"/>
        <charset val="204"/>
      </rPr>
      <t>Дмитрий</t>
    </r>
    <r>
      <rPr>
        <sz val="8"/>
        <color theme="1"/>
        <rFont val="Times New Roman"/>
        <family val="1"/>
        <charset val="204"/>
      </rPr>
      <t xml:space="preserve"> Александрович </t>
    </r>
  </si>
  <si>
    <t>медведь, лось, марал, косуля, кабарга, рысь, кабан, соболь, барсук, выдра</t>
  </si>
  <si>
    <t>Открытое акционерное общество «Российские железные дороги»</t>
  </si>
  <si>
    <t xml:space="preserve">Рейнгардт Владимир Гарольдович </t>
  </si>
  <si>
    <t>медведь, лось, марал, косуля, кабарга, рысь, соболь, барсук, выдра</t>
  </si>
  <si>
    <t>Общество с ограниченной ответственностью «Александровка»</t>
  </si>
  <si>
    <t xml:space="preserve">Дмитриев Владими Сергеевич </t>
  </si>
  <si>
    <t>Общество с ограниченной ответственностью «Имени Лопе де Вега»</t>
  </si>
  <si>
    <t xml:space="preserve">Юртаев Семен Николаевич </t>
  </si>
  <si>
    <t>медведь, лось, марал, косуля, кабан, соболь, барсук, рысь, выдра</t>
  </si>
  <si>
    <t>Региональная общественная организация «Красноярское краевое общество охотников и рыболовов»</t>
  </si>
  <si>
    <t>Балахтинский (правый берег                                    р. Енисей)</t>
  </si>
  <si>
    <t>Манская местная районная общественная организация охотников и рыболовов</t>
  </si>
  <si>
    <t>Анищев Василий Иванович</t>
  </si>
  <si>
    <t>общая с Манским - 245,2905</t>
  </si>
  <si>
    <t>Открытое акционерное общество «Гамбит»</t>
  </si>
  <si>
    <t>соболь, рысь, барсук, выдра, медведь, лось, марал, косуля, кабарга</t>
  </si>
  <si>
    <t>Общество с ограниченной ответственностью «В.В.В.»</t>
  </si>
  <si>
    <t>медведь, лось, марал, косуля, кабарга, барсук, выдра, рысь, соболь</t>
  </si>
  <si>
    <t>Красноярская региональная общественная организация  «Приморские охотники»</t>
  </si>
  <si>
    <t xml:space="preserve">Нусс Виталий Николаевич </t>
  </si>
  <si>
    <t>Красноярское региональное некоммерческое партнерство  «Охотник»</t>
  </si>
  <si>
    <t>Некоммерческое партнерство  «Спортивный охотник»</t>
  </si>
  <si>
    <t>Гафаров Амир Загирович</t>
  </si>
  <si>
    <t>Общество с ограниченной ответственностью «Кречет»</t>
  </si>
  <si>
    <t xml:space="preserve">Тимошкина Ольга Александровна </t>
  </si>
  <si>
    <t>медведь, лось, марал, косуля, кабарга, рысь, соболь, барсук</t>
  </si>
  <si>
    <t>Красноярская региональная общественная организация  «Общество охотников и рыболовов  «САЯНЫ»</t>
  </si>
  <si>
    <t xml:space="preserve">Чеберяк Юрий Иванович </t>
  </si>
  <si>
    <t>медведь, лось, марал, косуля, кабарга, кабан, рысь, соболь, барсук</t>
  </si>
  <si>
    <t>Общество с ограниченной ответственностью «Буран»</t>
  </si>
  <si>
    <t xml:space="preserve">Зайцев Юрий Петрович </t>
  </si>
  <si>
    <t>Индивидуальный предприниматель                              Брацук Сергей Александрович</t>
  </si>
  <si>
    <t>медведь, лось, марал, косуля, рысь, соболь, выдра, барсук</t>
  </si>
  <si>
    <t>Индивидуальный предприниматель Ильин Сергей Егорович</t>
  </si>
  <si>
    <t>медведь, лось, марал, косуля, кабарга, соболь, барсук</t>
  </si>
  <si>
    <t>Открытое акционерное общество «Сосновый бор»</t>
  </si>
  <si>
    <t>барсук, медведь, выдра, кабарга, косуля, лось, марал, соболь</t>
  </si>
  <si>
    <t>общая с Идринским - 27,904 ЛФ</t>
  </si>
  <si>
    <t>Берёзовский</t>
  </si>
  <si>
    <t>Местная городская общественная организация спортивное охотничье и рыболовное общество г. Железногорска</t>
  </si>
  <si>
    <t xml:space="preserve">Дворников Евгений Михайлович  </t>
  </si>
  <si>
    <t>медведь, лось, марал, кабан, косуля, кабарга, рысь, соболь, барсук, выдра</t>
  </si>
  <si>
    <t>ЛФ и ЗАТО (общая с Сухобузимским и ЗАТО - 154,105)                                                 Кроме того 3,603 - зел.зона</t>
  </si>
  <si>
    <t>Закрытое акционерное общество «Производственно-строительная компания «Союз»</t>
  </si>
  <si>
    <t xml:space="preserve">Путриков Андрей Валерьевич </t>
  </si>
  <si>
    <t xml:space="preserve">медведь, лось, марал, косуля, кабарга, рысь, соболь, </t>
  </si>
  <si>
    <t>Борисенко Юрий Яковлевич</t>
  </si>
  <si>
    <t>Красноярская региональная общественная организация охотников «Кречет»</t>
  </si>
  <si>
    <t xml:space="preserve">Карабанов Александр Сергеевич </t>
  </si>
  <si>
    <t>общая с Манским - 17,879 ЛФ</t>
  </si>
  <si>
    <t>Общество с ограниченной ответственностью «Сибирь Авиа»</t>
  </si>
  <si>
    <t>Шиповалов Юрий Геннадьевич</t>
  </si>
  <si>
    <t>общая с Манским 39,6 ЛФ</t>
  </si>
  <si>
    <t>Крестьянское хозяйство «Ясные поляны»</t>
  </si>
  <si>
    <t xml:space="preserve">Прядко Василий Романович </t>
  </si>
  <si>
    <t>медведь, лось, марал, косуля, кабарга, кабан, рысь, соболь, выдра, барсук</t>
  </si>
  <si>
    <t>Бирилюсский</t>
  </si>
  <si>
    <t>Местная общественная организация охотников Бирилюсского района</t>
  </si>
  <si>
    <t>Кухаренко Виктор Александрович</t>
  </si>
  <si>
    <t>медведь, лось, рысь, соболь, барсук, выдра</t>
  </si>
  <si>
    <t>ГЗЗ</t>
  </si>
  <si>
    <t>Индивидуальный предприниматель Милкин Николай Сергеевич</t>
  </si>
  <si>
    <t>медведь, лось, косуля, рысь, соболь, выдра</t>
  </si>
  <si>
    <t xml:space="preserve">в т.ч. Козульский - 0,422  </t>
  </si>
  <si>
    <t>Индивидуальный предприниматель Перминов Павел Михайлович</t>
  </si>
  <si>
    <t>медведь, лось, рысь, соболь, выдра</t>
  </si>
  <si>
    <t>в т.ч. Козульский - 1,967</t>
  </si>
  <si>
    <t>Общество с ограниченной ответственностью «Медикс»</t>
  </si>
  <si>
    <t xml:space="preserve">Гаврик Ольга Валентиновна </t>
  </si>
  <si>
    <t>Общество с ограниченной ответственностью «Хантер»</t>
  </si>
  <si>
    <t xml:space="preserve">Селиванов Сергей Георгиевич </t>
  </si>
  <si>
    <t xml:space="preserve"> 1,934 -запаса, 2,268-иные</t>
  </si>
  <si>
    <t>Общество с ограниченной ответственностью «Лосиный угол»</t>
  </si>
  <si>
    <t xml:space="preserve">Любутин Леонид Алексеевич </t>
  </si>
  <si>
    <t>Боготольский</t>
  </si>
  <si>
    <t xml:space="preserve">Богучанский </t>
  </si>
  <si>
    <t>Местная общественная организация охотников и рыболовов Богучанского района Красноярского края «Белка»</t>
  </si>
  <si>
    <t xml:space="preserve">Колокольцев Владимир Николаевич  </t>
  </si>
  <si>
    <t>Общество с ограниченной ответственностью «Охотничье-промысловое хозяйство «Ояхтинское»</t>
  </si>
  <si>
    <t xml:space="preserve">Содатова Людмила Николаевна </t>
  </si>
  <si>
    <t>медведь, лось, марал, косуля, кабарга, рысь, соболь, выдра</t>
  </si>
  <si>
    <t>Общество с ограниченной ответственностью «Региональная промысловая компания»</t>
  </si>
  <si>
    <t xml:space="preserve">Толстолугов Анатолий Иванович </t>
  </si>
  <si>
    <r>
      <t xml:space="preserve">медведь, лось, </t>
    </r>
    <r>
      <rPr>
        <sz val="8"/>
        <color theme="1"/>
        <rFont val="Times New Roman"/>
        <family val="1"/>
        <charset val="204"/>
      </rPr>
      <t>кабарга, рысь, соболь, барсук, выдра</t>
    </r>
  </si>
  <si>
    <t>Общество с ограниченной ответственностью «Сибсэбл»</t>
  </si>
  <si>
    <t>лось, кабарга, марал, косуля, медведь, соболь, выдра</t>
  </si>
  <si>
    <t>Большемуртинский</t>
  </si>
  <si>
    <t>Некоммерческое партнерство «Международный институт мониторинга лесных экосистем»</t>
  </si>
  <si>
    <t xml:space="preserve">Вараксин Геннадий Сергеевич </t>
  </si>
  <si>
    <t>медведь, лось, косуля, рысь, соболь, барсук</t>
  </si>
  <si>
    <t>Общество с ограниченной ответственностью «Бир Пекс Красноярск»</t>
  </si>
  <si>
    <t xml:space="preserve">Селин Дмитрий Александрович </t>
  </si>
  <si>
    <t>медведь, лось, косуля, рысь, соболь, барсук, выдра</t>
  </si>
  <si>
    <t>Общество с ограниченной ответственностью « Орион+»</t>
  </si>
  <si>
    <t xml:space="preserve">Журавле Владимир Михайлович </t>
  </si>
  <si>
    <r>
      <t xml:space="preserve">24.05.2005 № 2827 </t>
    </r>
    <r>
      <rPr>
        <sz val="8"/>
        <color rgb="FFFF0000"/>
        <rFont val="Times New Roman"/>
        <family val="1"/>
        <charset val="204"/>
      </rPr>
      <t xml:space="preserve">до 03.05.2015 </t>
    </r>
  </si>
  <si>
    <t>медведь, лось, косуля, рысь, соболь, выдра, барсук</t>
  </si>
  <si>
    <t>Общество с ограниченной ответственностью «Заповедное 2»</t>
  </si>
  <si>
    <t xml:space="preserve">Шотт Александр Валерьевич </t>
  </si>
  <si>
    <t xml:space="preserve"> </t>
  </si>
  <si>
    <t>земли запаса</t>
  </si>
  <si>
    <t>Большеулуйский</t>
  </si>
  <si>
    <t>Местная общественная организация охотников Большеулуйского района</t>
  </si>
  <si>
    <t xml:space="preserve">Ворончихин Олег Васильевич </t>
  </si>
  <si>
    <t>медведь, лось, марал, косуля, рысь, соболь, барсук, выдра</t>
  </si>
  <si>
    <t>Дзержинский</t>
  </si>
  <si>
    <t>Местная общественная организация охотников Дзержинского района</t>
  </si>
  <si>
    <t xml:space="preserve">Панкевич Владимир Ильич </t>
  </si>
  <si>
    <t>медведь, лось, косуля, кабан, рысь, соболь, барсук, выдра</t>
  </si>
  <si>
    <t>проектируемое ООПТ "Заливы озераУлюколь"</t>
  </si>
  <si>
    <t xml:space="preserve">Орлов Максим Вадимович </t>
  </si>
  <si>
    <t>Емельяновский</t>
  </si>
  <si>
    <r>
      <t xml:space="preserve">24.05.2005 № 2828 </t>
    </r>
    <r>
      <rPr>
        <sz val="8"/>
        <color rgb="FFFF0000"/>
        <rFont val="Times New Roman"/>
        <family val="1"/>
        <charset val="204"/>
      </rPr>
      <t xml:space="preserve">до 03.05.2015 </t>
    </r>
  </si>
  <si>
    <t>медведь, лось, марал, ДСО, косуля, кабан, кабарга, рысь, соболь, выдра, барсук</t>
  </si>
  <si>
    <t xml:space="preserve">Красноярская региональная общественная организация охотников-ветеранов, пенсионеров, сотрудников органов внутренних дел  «Динамо-Можары»
</t>
  </si>
  <si>
    <t xml:space="preserve">Сафонов Евгений Алексеевич </t>
  </si>
  <si>
    <t>медведь, лось, марал, рысь, соболь, барсук, выдра</t>
  </si>
  <si>
    <t xml:space="preserve"> в т.ч. Козульский - 1,663 </t>
  </si>
  <si>
    <t xml:space="preserve">Местная общественная организация 
«Емельяновское районное общество 
охотников и рыболовов»
</t>
  </si>
  <si>
    <t xml:space="preserve">Милоенко Виктор Александрович </t>
  </si>
  <si>
    <t>Потребительское общество «Кемчуг»</t>
  </si>
  <si>
    <t xml:space="preserve">Дубинников Рифат Владимирович </t>
  </si>
  <si>
    <t xml:space="preserve">Енисейский </t>
  </si>
  <si>
    <t>Общество с ограниченной ответственностью «СО-БР»</t>
  </si>
  <si>
    <t xml:space="preserve">Вавулин Игорь Николаевич </t>
  </si>
  <si>
    <t>медведь, лось, ДСО, соболь, барсук, рысь, выдра</t>
  </si>
  <si>
    <t>Промысловое общество с ограниченной ответственностью «Енисейский кряж»</t>
  </si>
  <si>
    <t xml:space="preserve">Кузьмичук Андрей Валерьевич </t>
  </si>
  <si>
    <t>медведь, лось, ДСО, кабарга, соболь, выдра</t>
  </si>
  <si>
    <t>Местная общественная организация охотников и рыболовов Енисейского района</t>
  </si>
  <si>
    <t>медведь, лось, соболь, рысь, выдра, барсук</t>
  </si>
  <si>
    <t>Местная общественная организация охотников Енисейского района</t>
  </si>
  <si>
    <t>Луцкий Сергей Владимирович</t>
  </si>
  <si>
    <t>лось, соболь</t>
  </si>
  <si>
    <r>
      <t xml:space="preserve">медведь, лось, ДСО </t>
    </r>
    <r>
      <rPr>
        <sz val="8"/>
        <color rgb="FFFF0000"/>
        <rFont val="Times New Roman"/>
        <family val="1"/>
        <charset val="204"/>
      </rPr>
      <t>(только по соглаш)</t>
    </r>
    <r>
      <rPr>
        <sz val="8"/>
        <color theme="1"/>
        <rFont val="Times New Roman"/>
        <family val="1"/>
        <charset val="204"/>
      </rPr>
      <t>, кабарга, рысь, соболь, барсук, выдра</t>
    </r>
  </si>
  <si>
    <t>673,383- согл, 1761,687- ДЛ</t>
  </si>
  <si>
    <t xml:space="preserve">Некоммерческое партнерство охотников и рыболовов «Забава»
</t>
  </si>
  <si>
    <t xml:space="preserve">Кадулич Руслан Семенович </t>
  </si>
  <si>
    <t xml:space="preserve">30.01.2012,                     ДС  04.09.2014 </t>
  </si>
  <si>
    <t xml:space="preserve"> 36,                         ДС №1</t>
  </si>
  <si>
    <t xml:space="preserve">Ермаковский </t>
  </si>
  <si>
    <t>Общество с ограниченной ответственностью «Большая речка»</t>
  </si>
  <si>
    <t>Волков Сергей Дмитриевич</t>
  </si>
  <si>
    <t>Общество с ограниченной ответственностью «Иджир»</t>
  </si>
  <si>
    <t xml:space="preserve">Доровских Валерий Анатольевич </t>
  </si>
  <si>
    <t>медведь, лось, марал, косуля, кабарга, козерог, кабан, рысь, соболь</t>
  </si>
  <si>
    <t>Общество с ограниченной ответственностью «Иджим»</t>
  </si>
  <si>
    <t>Общество с ограниченной ответственностью «Казыр-Суг»</t>
  </si>
  <si>
    <t>Андросов Владимир Владимирович</t>
  </si>
  <si>
    <t>Общество с ограниченной ответственностью «Ермак-2009»</t>
  </si>
  <si>
    <t xml:space="preserve">Волков Алексей Сергеевич </t>
  </si>
  <si>
    <t>19.12.2013,                   ДС 10.03.14</t>
  </si>
  <si>
    <t>82;                              ДС №1</t>
  </si>
  <si>
    <t>Общество с ограниченной ответственностью «Спецэлектромонтаж»</t>
  </si>
  <si>
    <t>медведь, лось, марал, косуля, кабарга, рысь, барсук</t>
  </si>
  <si>
    <t>Общество с ограниченной ответственностью «Ермаковский коопзверопромхоз»</t>
  </si>
  <si>
    <t>медведь, лось, мрал, кабарга, соболь, рысь, барсук</t>
  </si>
  <si>
    <t xml:space="preserve">Идринский </t>
  </si>
  <si>
    <t>общая с Балахтинским - 27,904 ЛФ</t>
  </si>
  <si>
    <t>Общество с ограниченной ответственностью «Курагинское промыслово-охотничье хозяйство»</t>
  </si>
  <si>
    <t>общая с Курагинским - 1763,083</t>
  </si>
  <si>
    <t>Красноярская региональная общественная организация охотников  «Убрус»</t>
  </si>
  <si>
    <t xml:space="preserve">Вербицкий Николай Иванович </t>
  </si>
  <si>
    <t>Общество с ограниченной ответственностью «Таёжное»</t>
  </si>
  <si>
    <t xml:space="preserve">Курс, Юрий Николаевич </t>
  </si>
  <si>
    <t>медведь, лось, марал, кабарга, соболь, выдра</t>
  </si>
  <si>
    <t>Иланский</t>
  </si>
  <si>
    <t>Местная общественная организация охотников Иланского района</t>
  </si>
  <si>
    <t>Иванкевич Галина Харитоновна</t>
  </si>
  <si>
    <t>Ирбейский</t>
  </si>
  <si>
    <t>Общество с ограниченной ответственностью «Агульское»</t>
  </si>
  <si>
    <t>Берестов Александр Александрович (ИП Утехин)</t>
  </si>
  <si>
    <t>Красноярская краевая общественная организация охотников «Единство»</t>
  </si>
  <si>
    <t xml:space="preserve">Малых Юрий Николаевич </t>
  </si>
  <si>
    <t>медведь, лось, марал, косуля, кабарга, кабан  соболь</t>
  </si>
  <si>
    <t>Казачинский</t>
  </si>
  <si>
    <t>Индивидуальный предприниматель                   Полухин Анатолий Николаевич</t>
  </si>
  <si>
    <t>медведь, лось, косуля, соболь, барсук</t>
  </si>
  <si>
    <t xml:space="preserve">Индивидуальный предприниматель Бербушенко Андрей Николаевич </t>
  </si>
  <si>
    <t>Индивидуальный предприниматель Мамаев Геннадий Викторович</t>
  </si>
  <si>
    <t>медведь, лось, косуля, соболь</t>
  </si>
  <si>
    <t>общая с Тасеевским-11,743</t>
  </si>
  <si>
    <r>
      <t xml:space="preserve">30.03.2010 № 0000204 </t>
    </r>
    <r>
      <rPr>
        <sz val="8"/>
        <color rgb="FFFF0000"/>
        <rFont val="Times New Roman"/>
        <family val="1"/>
        <charset val="204"/>
      </rPr>
      <t xml:space="preserve">до 29.03.2015 </t>
    </r>
  </si>
  <si>
    <t>Открытое акционерное общество «Галанинское хлебоприемное предприятие»</t>
  </si>
  <si>
    <t xml:space="preserve">Орлов Алексей Владимирович </t>
  </si>
  <si>
    <t>19.11.2013                         ДС 30.12.13</t>
  </si>
  <si>
    <t xml:space="preserve"> 76,                        № 1</t>
  </si>
  <si>
    <t>Красноярская региональная общественная организация «Красноярский краевой центр развития охоты и рыболовства»</t>
  </si>
  <si>
    <t xml:space="preserve">Тонких Сергей Николаевич </t>
  </si>
  <si>
    <t>Канский</t>
  </si>
  <si>
    <t>Общество с ограниченной ответственностью «Арбалет»</t>
  </si>
  <si>
    <t>Удалова Любовь Григорьевна</t>
  </si>
  <si>
    <t>медведь, лось, косуля, рысь, соболь,  барсук</t>
  </si>
  <si>
    <t>Местная общественная организация охотников Канского района</t>
  </si>
  <si>
    <t>Васюкова Татьяна Васильевна</t>
  </si>
  <si>
    <t>Каратузский</t>
  </si>
  <si>
    <t>Каратузская районная местная общественная организация охотников и рыболовов</t>
  </si>
  <si>
    <t xml:space="preserve">Богданов Валей Григорьевич  </t>
  </si>
  <si>
    <t>27.06.2006  ХХ № 2209 до 08.06.2016</t>
  </si>
  <si>
    <t>ОХС 147,811 (57,911 ЛФ, 89,900 СХН), ДЛ 348,24</t>
  </si>
  <si>
    <t>Красноярская региональная общественная организация охотников «Природа»</t>
  </si>
  <si>
    <t xml:space="preserve">Богданов Валей Григорьевич </t>
  </si>
  <si>
    <t xml:space="preserve">Кежемский </t>
  </si>
  <si>
    <t>Общество с ограниченной ответственностью «Охотничье хозяйство Чадобец»</t>
  </si>
  <si>
    <t xml:space="preserve">Даньшин Андрей Геннадьевич </t>
  </si>
  <si>
    <t xml:space="preserve">медведь, лось, марал, косуля,  соболь </t>
  </si>
  <si>
    <t>в т.ч. 3,112 Богучанский</t>
  </si>
  <si>
    <t xml:space="preserve">Общественная организация районного общества охотников и рыболовов г.Кодинск
</t>
  </si>
  <si>
    <t>Козульский</t>
  </si>
  <si>
    <t>Местная общественная организация охотников и рыболовов Козульского района</t>
  </si>
  <si>
    <t xml:space="preserve">Тимофеев Александр Сергеевич </t>
  </si>
  <si>
    <t>медведь, лось, марал, косуля, кабан, соболь</t>
  </si>
  <si>
    <t>Общество с ограниченной ответственностью «Союз»</t>
  </si>
  <si>
    <t xml:space="preserve">Звягин Валерий Викторович </t>
  </si>
  <si>
    <t>Общество с ограниченной ответственностью «Новокозульский леспромхоз»</t>
  </si>
  <si>
    <t xml:space="preserve">Упит Владимир Михайлович </t>
  </si>
  <si>
    <t>медведь, лось, соболь</t>
  </si>
  <si>
    <t xml:space="preserve">Краснотуранский </t>
  </si>
  <si>
    <t>Общество с ограниченной ответственностью «Русь»</t>
  </si>
  <si>
    <t>Каунов Николай Эдемович</t>
  </si>
  <si>
    <t xml:space="preserve">в т.ч. Новоселовский - 2,1685 ЛФ      </t>
  </si>
  <si>
    <t>Гусев Сергей Валерьевич</t>
  </si>
  <si>
    <t>0,088 ГЗЗ, 0,413 подсоб. хоз.</t>
  </si>
  <si>
    <t>Курагинский</t>
  </si>
  <si>
    <t>Индивидуальный предприниматель                         Горбунов Геннадий Артемьевич</t>
  </si>
  <si>
    <t>медведь, лось, соболь, выдра</t>
  </si>
  <si>
    <t>Индивидуальный предприниматель                       Новиков Геннадий Николаевич</t>
  </si>
  <si>
    <t>Индивидуальный предприниматель Горовой Николай Юрьевич</t>
  </si>
  <si>
    <t>Индивидуальный предприниматель Разумовский Мин Федорович</t>
  </si>
  <si>
    <t>Индивидуальный предприниматель                   Пашин Виктор Александрович</t>
  </si>
  <si>
    <t xml:space="preserve">Некоммерческое партнёрство охотников-промысловиков </t>
  </si>
  <si>
    <t>03.09.2016 и 30.01.2016</t>
  </si>
  <si>
    <t>медведь, лось, марал, кабарга, рысь, соболь, выдра</t>
  </si>
  <si>
    <t>02.08.2016 и 25.09.2016</t>
  </si>
  <si>
    <t>общая с Идринским - 1763,083</t>
  </si>
  <si>
    <t>Манский</t>
  </si>
  <si>
    <t xml:space="preserve">Анищев Василий Иванович </t>
  </si>
  <si>
    <t>общая с Балахтинским - 245,2905</t>
  </si>
  <si>
    <t>Местная общественная организация охотников  «Заманье» Манского района</t>
  </si>
  <si>
    <t>отказано в заключении соглашения, суд</t>
  </si>
  <si>
    <t>медведь, лось, марал, косуля, кабарга, кабан, соболь, рысь, барсук, выдра</t>
  </si>
  <si>
    <t xml:space="preserve"> 14.05.2013</t>
  </si>
  <si>
    <t>общая с Березовским - 17,879 ЛФ</t>
  </si>
  <si>
    <t xml:space="preserve">Шиповалов Юрий Геннадьевич </t>
  </si>
  <si>
    <t>общая с Березовским 39,6 ЛФ</t>
  </si>
  <si>
    <t>Красноярская региональная общественная организация охотников «Синер»</t>
  </si>
  <si>
    <t xml:space="preserve">Николаев Владимир Иванович </t>
  </si>
  <si>
    <t xml:space="preserve"> 17.07.2012</t>
  </si>
  <si>
    <t>Минусинский</t>
  </si>
  <si>
    <t>медведь, лось, марал, косуля, кабан, рысь, соболь, барсук, выдра</t>
  </si>
  <si>
    <t>Мотыгинский</t>
  </si>
  <si>
    <t>Орлов Максим Вадимович</t>
  </si>
  <si>
    <t>острова</t>
  </si>
  <si>
    <t>Назаровский</t>
  </si>
  <si>
    <t>Местная общественная организация охотников и рыболовов Назаровского района и города Назарово</t>
  </si>
  <si>
    <t xml:space="preserve">Русинов Игорь Геннадьевич </t>
  </si>
  <si>
    <t>лось, косуля, барсук</t>
  </si>
  <si>
    <t>земли водного фонда</t>
  </si>
  <si>
    <t>Нижнеингашский</t>
  </si>
  <si>
    <t xml:space="preserve">Нижнеингашская районная общественная организация «Нижнеингашские любители спортивной охоты»
</t>
  </si>
  <si>
    <t xml:space="preserve">Свиридов Эдуард Юрьевич </t>
  </si>
  <si>
    <t xml:space="preserve">09.02.2012                ДС 08.05.2014 </t>
  </si>
  <si>
    <t>38,                       ДС №3</t>
  </si>
  <si>
    <t>Общество с ограниченной ответственностью «Эко-ресурс»</t>
  </si>
  <si>
    <t xml:space="preserve">Лектусаров Николай Михайлович </t>
  </si>
  <si>
    <t>66 и 67</t>
  </si>
  <si>
    <t>медведь, лось, марал, косуля, соболь, рысь, барсук</t>
  </si>
  <si>
    <t>Новосёловский</t>
  </si>
  <si>
    <t>Общество с ограниченной ответственностью «Фарт»</t>
  </si>
  <si>
    <t xml:space="preserve">Ивков Олег Владимирович </t>
  </si>
  <si>
    <t>Общество с ограниченной ответственностью «Кашпай»</t>
  </si>
  <si>
    <t xml:space="preserve">Скрипкин Федор Петрович </t>
  </si>
  <si>
    <t>медведь, лось, марал, косуля, кабарга, соболь, рысь, барсук, выдра</t>
  </si>
  <si>
    <t>Общество с ограниченной ответственностью «Райтопсбыт»</t>
  </si>
  <si>
    <t xml:space="preserve">Исаев Сергей Иванович </t>
  </si>
  <si>
    <t>Общество с ограниченной ответственностью «Чулым»</t>
  </si>
  <si>
    <t>Клюев Леонид Анатольевич</t>
  </si>
  <si>
    <t>медведь, косуля, барсук</t>
  </si>
  <si>
    <t>Общество с ограниченной ответственностью «Охотничье хозяйство Гуран»</t>
  </si>
  <si>
    <t>Минаков Иван Анатольевич</t>
  </si>
  <si>
    <t>медведь, марал, косуля, соболь, рысь, барсук</t>
  </si>
  <si>
    <t>Общество с ограниченной ответственностью «Охота Рыбалка Сибири»</t>
  </si>
  <si>
    <t xml:space="preserve">Мухина Эрика Алексеевна     </t>
  </si>
  <si>
    <t>99 и 100</t>
  </si>
  <si>
    <t>Партизанский</t>
  </si>
  <si>
    <t>Красноярская региональная общественная организация Добровольное общество охотников «Барс»</t>
  </si>
  <si>
    <t xml:space="preserve">Кравцов Сергей Геннадьевич </t>
  </si>
  <si>
    <t>Индивидуальный предприниматель                            Шамов Алексей Викторович</t>
  </si>
  <si>
    <t>Общество с ограниченной ответственностью фирма «Рэгги»</t>
  </si>
  <si>
    <t>Хоботов Виктор Михайлович</t>
  </si>
  <si>
    <t>87 и 88</t>
  </si>
  <si>
    <t>медведь, лось, марал, косуля, кабарга, кабан, соболь</t>
  </si>
  <si>
    <t>общая с Саянским - 53769</t>
  </si>
  <si>
    <t>Общество с ограниченной ответственностью 
«Пента-Е»</t>
  </si>
  <si>
    <t xml:space="preserve">Емельянов Александр Владимирович </t>
  </si>
  <si>
    <t>Общество с ограниченной ответственностью Региональный Охотничий Клуб «Сорокополье»</t>
  </si>
  <si>
    <t xml:space="preserve">Шилько Сергей Иванович </t>
  </si>
  <si>
    <t>Индивидуальный предприниматель                            Рябинин Александр Николаевич</t>
  </si>
  <si>
    <t>Индивидуальный предприниматель                            Персман Виктор Энделевич</t>
  </si>
  <si>
    <t>медведь, лось, косуля, кабарга, соболь</t>
  </si>
  <si>
    <t>Потребительское общество «АНГУЛ»</t>
  </si>
  <si>
    <t xml:space="preserve">Сысоев Владимир Владимирович </t>
  </si>
  <si>
    <t>Общество с ограниченной ответственностью «Альф Красноярск»</t>
  </si>
  <si>
    <t>Грохотов Сергей Валерьевич</t>
  </si>
  <si>
    <t>Пировский</t>
  </si>
  <si>
    <t>Общество с ограниченной ответственностью «Красресурс и К»</t>
  </si>
  <si>
    <t xml:space="preserve">Малышев Андрей Николаевич </t>
  </si>
  <si>
    <t xml:space="preserve">08.05.2014 ДС 23.06.2014 </t>
  </si>
  <si>
    <t>96,                              ДС №1</t>
  </si>
  <si>
    <t>медведь, лось, соболь, барсук, рысь</t>
  </si>
  <si>
    <t>Индивидуальный предприниматель                       Шевляков Евгений Александрович</t>
  </si>
  <si>
    <t>медведь, лось, соболь, рысь, выдра</t>
  </si>
  <si>
    <t>30.01.2012           ДС 04.06.2014</t>
  </si>
  <si>
    <t>37, ДС №1</t>
  </si>
  <si>
    <t>Рыбинский</t>
  </si>
  <si>
    <t>Общественная организация городское общество охотников и рыболовов 
г. Зеленогорска</t>
  </si>
  <si>
    <t xml:space="preserve">Тишин Валерий Павлович </t>
  </si>
  <si>
    <t>Местная общественная организация «Рыбинское районное добровольное общество охотников и рыболовов»</t>
  </si>
  <si>
    <t>Соколов Петр Константинович</t>
  </si>
  <si>
    <t>медведь, лось, косуля, кабарга, кабан, рысь, соболь, барсук</t>
  </si>
  <si>
    <t xml:space="preserve">Саянский </t>
  </si>
  <si>
    <t>Региональная общественная организация охотников  «Кан» Красноярского края</t>
  </si>
  <si>
    <t xml:space="preserve">Калмыков Евгений Викторович </t>
  </si>
  <si>
    <t xml:space="preserve">Хоботов Виктор Михайлович </t>
  </si>
  <si>
    <t>общая с Партизанским - 53769</t>
  </si>
  <si>
    <t>Общество с ограниченной ответственностью «Белогория»</t>
  </si>
  <si>
    <t xml:space="preserve">Маценко Владимир Иванович </t>
  </si>
  <si>
    <t>земли адм-ций сельских поселений</t>
  </si>
  <si>
    <t>Северо-Енисейский</t>
  </si>
  <si>
    <t xml:space="preserve">Муниципальное предприятие Северо-Енисейского района «Охотничье-промысловое хозяйство Север»
</t>
  </si>
  <si>
    <t>Носков Виктор Александрович</t>
  </si>
  <si>
    <t>медведь, лось, ДСО, соболь</t>
  </si>
  <si>
    <t>Индивидуальный предприниматель                          Жираков Сергей Александрович</t>
  </si>
  <si>
    <t>медведь, лось, ДСО, кабарга, соболь</t>
  </si>
  <si>
    <t>Индивидуальный предприниматель                    Дворников Александр Яковлевич</t>
  </si>
  <si>
    <t>Индивидуальный предприниматель                             Новоселов Николай Николаевич</t>
  </si>
  <si>
    <t>Индивидуальный предприниматель                    Подоляк Василий Михайлович</t>
  </si>
  <si>
    <t>медведь, лось, лесной северный олень, соболь</t>
  </si>
  <si>
    <t xml:space="preserve">Сухобузимский </t>
  </si>
  <si>
    <r>
      <t xml:space="preserve">24.05.2005 № 2829 </t>
    </r>
    <r>
      <rPr>
        <sz val="8"/>
        <color rgb="FFFF0000"/>
        <rFont val="Times New Roman"/>
        <family val="1"/>
        <charset val="204"/>
      </rPr>
      <t xml:space="preserve">до 03.05.2015 </t>
    </r>
  </si>
  <si>
    <t>медведь, лось, марал, косуля, кабан, кабарга, рысь, соболь, выдра, барсук</t>
  </si>
  <si>
    <t xml:space="preserve">Дворников Евгений Михайлович </t>
  </si>
  <si>
    <t>ДЛ 113,909 ; ОХС  81,446 ЛФ;                общая с Березовским - 268,014</t>
  </si>
  <si>
    <t>Тасеевский</t>
  </si>
  <si>
    <t>общая с Казачинским 11,743</t>
  </si>
  <si>
    <t>Общество с ограниченной ответственностью «Белисказ»</t>
  </si>
  <si>
    <t xml:space="preserve">Мишин Игорь Анатольевич </t>
  </si>
  <si>
    <t>Общество с ограниченной ответственностью «Север»</t>
  </si>
  <si>
    <t>Дмитриев Александр Николаевич</t>
  </si>
  <si>
    <t>Туруханский</t>
  </si>
  <si>
    <t>Общество с ограниченной ответственностью «Рыбхоз»</t>
  </si>
  <si>
    <t xml:space="preserve">Казанцева Марина Владимировна </t>
  </si>
  <si>
    <t>медведь, лось, ДСО, рысь, соболь, выдра</t>
  </si>
  <si>
    <t xml:space="preserve">Некоммерческое партнерство 
«Туруханское промысловое хозяйство» </t>
  </si>
  <si>
    <t>Дементьев Александр Валерьевич</t>
  </si>
  <si>
    <t xml:space="preserve">медведь, ДСО, лось, рысь, соболь, выдра </t>
  </si>
  <si>
    <t>Тюхтетский</t>
  </si>
  <si>
    <t>Общество с ограниченной ответственностью «ЛесПромСтрой»</t>
  </si>
  <si>
    <t xml:space="preserve">Мурзаханов Артур Рахимжанович </t>
  </si>
  <si>
    <t>Общество с ограниченной ответственностью «Модуль-Б»</t>
  </si>
  <si>
    <t xml:space="preserve">Хандошко Алексей Леонидович </t>
  </si>
  <si>
    <t>медведь, лось, соболь, рысь, барсук, выдра</t>
  </si>
  <si>
    <t>Общество с ограниченной ответственностью «Заповедное»</t>
  </si>
  <si>
    <t xml:space="preserve">Юрченко Сергей Алексеевич </t>
  </si>
  <si>
    <t>Индивидуальный предприниматель                     Кузьмин Михаил Яковлевич</t>
  </si>
  <si>
    <t>медведь, лось, соболь, барсук, выдра, рысь</t>
  </si>
  <si>
    <t>Общество с ограниченной ответственностью «Форест»</t>
  </si>
  <si>
    <t>медведь, лось, соболь, барсук</t>
  </si>
  <si>
    <t>Ужурский</t>
  </si>
  <si>
    <t>Местная общественная организация «Общество охотников и рыбаков по Ужурскому району»</t>
  </si>
  <si>
    <t xml:space="preserve">Юшков Владислав Иванович </t>
  </si>
  <si>
    <r>
      <t xml:space="preserve">24.05.2005 № 2831 </t>
    </r>
    <r>
      <rPr>
        <sz val="8"/>
        <color rgb="FFFF0000"/>
        <rFont val="Times New Roman"/>
        <family val="1"/>
        <charset val="204"/>
      </rPr>
      <t xml:space="preserve">до 03.05.2015 </t>
    </r>
  </si>
  <si>
    <t>медведь, лось, марал, косуля, ДСО, кабан, кабарга, рысь, соболь, выдра, барсук</t>
  </si>
  <si>
    <t>земли АО "Локшинское"</t>
  </si>
  <si>
    <t>Уярский</t>
  </si>
  <si>
    <t xml:space="preserve">Шарыповский </t>
  </si>
  <si>
    <t>Региональная общественная организация охотников и рыболовов Шарыповского, Ужурского, Назаровского, Новоселовского районов</t>
  </si>
  <si>
    <t xml:space="preserve">Кушнарев Владимир Михайлович </t>
  </si>
  <si>
    <t>85 и 89</t>
  </si>
  <si>
    <t>медведь, лось, марал, косуля, барсук</t>
  </si>
  <si>
    <t>6,991- спецземфонд (с/х), 2,953-ГЗЗ, 113,473 - иные</t>
  </si>
  <si>
    <t>Общество с ограниченной ответственностью «Фортуна Плюс»</t>
  </si>
  <si>
    <t xml:space="preserve">Березинский Николай Сидорович </t>
  </si>
  <si>
    <t xml:space="preserve">лось, косуля, </t>
  </si>
  <si>
    <t>3,247 сельской админ, 5,420 оз.Белое</t>
  </si>
  <si>
    <t>Общество с ограниченной ответственностью «СолДан»</t>
  </si>
  <si>
    <t>Зарубин Юрий Константинович</t>
  </si>
  <si>
    <t xml:space="preserve">  *</t>
  </si>
  <si>
    <t>Шушенский</t>
  </si>
  <si>
    <t>Промыслово-заготовительное общество с ограниченной ответственностью «Мал-Яр»</t>
  </si>
  <si>
    <t>Масленников Александр Петрович</t>
  </si>
  <si>
    <t>медведь, лось, марал, кабан, косуля, кабарга, соболь, рысь, выдра</t>
  </si>
  <si>
    <t>Местная общественная организация охотников и рыболовов Шушенского района</t>
  </si>
  <si>
    <t>Неволин Сергей Иванович</t>
  </si>
  <si>
    <t>медведь, лось, марал, кабан, косуля, кабарга, соболь, рысь, барсук, выдра</t>
  </si>
  <si>
    <t>Эвенкийский</t>
  </si>
  <si>
    <t>Илимпийская промысловая зона</t>
  </si>
  <si>
    <t>Байкитская промысловая зона</t>
  </si>
  <si>
    <t>Тунгусско-Чунская промысловая зона</t>
  </si>
  <si>
    <t xml:space="preserve"> в т.ч. общедоступные охотничьи угодья </t>
  </si>
  <si>
    <t>в т.ч. общество с ограниченной ответственностью «Региональная промысловая компания»</t>
  </si>
  <si>
    <t>Индивидуальный предприниматель                       Алейников А.В.</t>
  </si>
  <si>
    <t>Индивидуальный предприниматель                    Леончиков А.А.</t>
  </si>
  <si>
    <t>Индивидуальный предприниматель                       Салаткин С.Г.</t>
  </si>
  <si>
    <t>Индивидуальный предприниматель                         Тыганов И.И.</t>
  </si>
  <si>
    <t>Индивидуальный предприниматель                      Удыгир В.А.</t>
  </si>
  <si>
    <t>Индивидуальный предприниматель                      Щепко Л.Н.</t>
  </si>
  <si>
    <t>Муниципальное предприятие Эвенкийского муниципального района оленеводческо-племенное хозяйство «Суриндинский»</t>
  </si>
  <si>
    <t>Муниципальное предприятие Эвенкийского муниципального района «Эвенкиянефтепродукт»</t>
  </si>
  <si>
    <t>Община коренных малочисленных народов Севера «Учами»</t>
  </si>
  <si>
    <t>Общество с ограниченной ответственностью «Компания Эвенкия»</t>
  </si>
  <si>
    <t>Общество с ограниченной ответственностью «Крайсеверпром+»</t>
  </si>
  <si>
    <t>Общество с ограниченной ответственностью «Промысловик»</t>
  </si>
  <si>
    <t>Потребительское охотничье общество «Ванаварское»</t>
  </si>
  <si>
    <t>Родовая община коренных малочисленных народов Севера «Горбылек»</t>
  </si>
  <si>
    <t>Родовая община коренных малочисленных народов Севера «Колды»</t>
  </si>
  <si>
    <t>Семейная (родовая) община коренных малочисленных народов Севера «Уркэ»</t>
  </si>
  <si>
    <t>Родовая община коренных малочисленных народов Севера «Аява»</t>
  </si>
  <si>
    <t>Семейная (родовая) община коренных малочисленных народов Севера «Верхняя Чунка»</t>
  </si>
  <si>
    <t>Семейная (родовая) община коренных малочисленных народов Севера  «Катанга»</t>
  </si>
  <si>
    <t>Семейная (родовая) община коренных малочисленных народов Севера «Наракан»</t>
  </si>
  <si>
    <t>Семейная (родовая) община коренных малочисленных народов Севера «Орончакан»</t>
  </si>
  <si>
    <t>Семейная (родовая) община коренных малочисленных народов Севера «Сулимкай»</t>
  </si>
  <si>
    <t>Семейная (родовая) община коренных малочисленных народов Севера «Ямбукан»</t>
  </si>
  <si>
    <t>Семейная (родовая)  община коренных малочисленных народов Севера «Бирая»</t>
  </si>
  <si>
    <t>ТГБОУ НПО Профессиональный лицей № 91</t>
  </si>
  <si>
    <t>Общественная организация «Куюмбинское общество охотников»</t>
  </si>
  <si>
    <t>Община коренных малочисленных народов Севера «Бергима»</t>
  </si>
  <si>
    <t>Община коренных малочисленных народов Севера «Мадра»</t>
  </si>
  <si>
    <t>Община коренных малочисленных народов Севера«Таимба»</t>
  </si>
  <si>
    <t>Общество с ограниченной ответственностью «Охотник»</t>
  </si>
  <si>
    <t>Общество с ограниченной ответственностью «Тайга»</t>
  </si>
  <si>
    <t>Родовая община коренных малочисленных народов Севера «Кунноир»</t>
  </si>
  <si>
    <t>Семейная (родовая) община коренных малочисленных народов Севера«Кукшида»</t>
  </si>
  <si>
    <t xml:space="preserve">Таймырский Долгано-Ненецкий </t>
  </si>
  <si>
    <t>ЗОУ</t>
  </si>
  <si>
    <t xml:space="preserve">Исполняющий обязанности министра </t>
  </si>
  <si>
    <t>природных ресурсов и экологии Красноярского края ______________ Е.В. Вавилова</t>
  </si>
  <si>
    <t>Площадь охотничьих угодий: закрепленных - в соответствии с охотхозяйственным соглашением и долгосрочной лицензией, общедоступных - в соответствии с охотхозяйственным реестром, тыс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</si>
</sst>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00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color theme="5" tint="0.39997558519241921"/>
      <name val="Times New Roman"/>
      <family val="1"/>
      <charset val="204"/>
    </font>
    <font>
      <sz val="8"/>
      <color theme="3" tint="0.3999755851924192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2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44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 applyProtection="1">
      <alignment horizontal="center" vertical="center" textRotation="90"/>
    </xf>
    <xf numFmtId="2" fontId="3" fillId="0" borderId="1" xfId="0" applyNumberFormat="1" applyFont="1" applyFill="1" applyBorder="1" applyAlignment="1" applyProtection="1">
      <alignment horizontal="center" textRotation="90" wrapText="1"/>
    </xf>
    <xf numFmtId="3" fontId="1" fillId="0" borderId="6" xfId="0" applyNumberFormat="1" applyFont="1" applyFill="1" applyBorder="1" applyAlignment="1" applyProtection="1">
      <alignment horizontal="left" vertical="top" wrapText="1"/>
    </xf>
    <xf numFmtId="3" fontId="1" fillId="0" borderId="7" xfId="0" applyNumberFormat="1" applyFont="1" applyFill="1" applyBorder="1" applyAlignment="1" applyProtection="1">
      <alignment horizontal="left" vertical="top" wrapText="1"/>
    </xf>
    <xf numFmtId="3" fontId="1" fillId="0" borderId="7" xfId="0" applyNumberFormat="1" applyFont="1" applyFill="1" applyBorder="1" applyAlignment="1" applyProtection="1">
      <alignment vertical="top" wrapText="1"/>
    </xf>
    <xf numFmtId="3" fontId="2" fillId="0" borderId="7" xfId="0" applyNumberFormat="1" applyFont="1" applyFill="1" applyBorder="1" applyAlignment="1" applyProtection="1">
      <alignment vertical="top" wrapText="1"/>
    </xf>
    <xf numFmtId="2" fontId="2" fillId="0" borderId="7" xfId="0" applyNumberFormat="1" applyFont="1" applyFill="1" applyBorder="1" applyAlignment="1" applyProtection="1">
      <alignment vertical="top" wrapText="1"/>
    </xf>
    <xf numFmtId="2" fontId="3" fillId="0" borderId="7" xfId="0" applyNumberFormat="1" applyFont="1" applyFill="1" applyBorder="1" applyAlignment="1" applyProtection="1">
      <alignment horizontal="right" wrapText="1"/>
    </xf>
    <xf numFmtId="1" fontId="3" fillId="0" borderId="7" xfId="0" applyNumberFormat="1" applyFont="1" applyFill="1" applyBorder="1" applyAlignment="1" applyProtection="1">
      <alignment horizontal="right" wrapText="1"/>
    </xf>
    <xf numFmtId="2" fontId="3" fillId="0" borderId="1" xfId="0" applyNumberFormat="1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right" vertical="top"/>
    </xf>
    <xf numFmtId="3" fontId="1" fillId="0" borderId="2" xfId="0" applyNumberFormat="1" applyFont="1" applyFill="1" applyBorder="1" applyAlignment="1" applyProtection="1">
      <alignment horizontal="left" vertical="top"/>
    </xf>
    <xf numFmtId="3" fontId="1" fillId="0" borderId="1" xfId="0" applyNumberFormat="1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>
      <alignment horizontal="left" wrapText="1"/>
    </xf>
    <xf numFmtId="1" fontId="5" fillId="0" borderId="1" xfId="0" applyNumberFormat="1" applyFont="1" applyFill="1" applyBorder="1" applyAlignment="1" applyProtection="1">
      <alignment horizontal="left" wrapText="1"/>
    </xf>
    <xf numFmtId="166" fontId="5" fillId="0" borderId="1" xfId="0" applyNumberFormat="1" applyFont="1" applyFill="1" applyBorder="1" applyAlignment="1" applyProtection="1">
      <alignment horizontal="left" wrapText="1"/>
    </xf>
    <xf numFmtId="165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right"/>
    </xf>
    <xf numFmtId="3" fontId="1" fillId="0" borderId="9" xfId="0" applyNumberFormat="1" applyFont="1" applyFill="1" applyBorder="1" applyAlignment="1" applyProtection="1">
      <alignment horizontal="left" vertical="top"/>
    </xf>
    <xf numFmtId="164" fontId="6" fillId="0" borderId="1" xfId="0" applyNumberFormat="1" applyFont="1" applyFill="1" applyBorder="1" applyAlignment="1" applyProtection="1">
      <alignment horizontal="left" wrapText="1"/>
    </xf>
    <xf numFmtId="1" fontId="5" fillId="3" borderId="1" xfId="0" applyNumberFormat="1" applyFont="1" applyFill="1" applyBorder="1" applyAlignment="1" applyProtection="1">
      <alignment horizontal="left" wrapText="1"/>
    </xf>
    <xf numFmtId="2" fontId="3" fillId="0" borderId="1" xfId="0" applyNumberFormat="1" applyFont="1" applyFill="1" applyBorder="1" applyAlignment="1" applyProtection="1">
      <alignment horizontal="right"/>
    </xf>
    <xf numFmtId="2" fontId="3" fillId="3" borderId="1" xfId="0" applyNumberFormat="1" applyFont="1" applyFill="1" applyBorder="1" applyAlignment="1" applyProtection="1">
      <alignment horizontal="left" wrapText="1"/>
    </xf>
    <xf numFmtId="3" fontId="1" fillId="0" borderId="12" xfId="0" applyNumberFormat="1" applyFont="1" applyFill="1" applyBorder="1" applyAlignment="1" applyProtection="1">
      <alignment horizontal="left" vertical="top"/>
    </xf>
    <xf numFmtId="3" fontId="7" fillId="0" borderId="1" xfId="0" applyNumberFormat="1" applyFont="1" applyFill="1" applyBorder="1" applyAlignment="1" applyProtection="1">
      <alignment horizontal="right" wrapText="1"/>
    </xf>
    <xf numFmtId="166" fontId="8" fillId="0" borderId="1" xfId="0" applyNumberFormat="1" applyFont="1" applyFill="1" applyBorder="1" applyAlignment="1" applyProtection="1">
      <alignment horizontal="left" wrapText="1"/>
    </xf>
    <xf numFmtId="164" fontId="8" fillId="0" borderId="1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Alignment="1" applyProtection="1">
      <alignment horizontal="left" wrapText="1"/>
    </xf>
    <xf numFmtId="164" fontId="9" fillId="0" borderId="1" xfId="0" applyNumberFormat="1" applyFont="1" applyFill="1" applyBorder="1" applyAlignment="1" applyProtection="1">
      <alignment horizontal="left" wrapText="1"/>
    </xf>
    <xf numFmtId="4" fontId="10" fillId="0" borderId="1" xfId="0" applyNumberFormat="1" applyFont="1" applyFill="1" applyBorder="1" applyAlignment="1" applyProtection="1">
      <alignment horizontal="right"/>
    </xf>
    <xf numFmtId="2" fontId="10" fillId="0" borderId="1" xfId="0" applyNumberFormat="1" applyFont="1" applyFill="1" applyBorder="1" applyAlignment="1" applyProtection="1">
      <alignment horizontal="right"/>
    </xf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2" fontId="11" fillId="0" borderId="1" xfId="0" applyNumberFormat="1" applyFont="1" applyFill="1" applyBorder="1" applyAlignment="1" applyProtection="1">
      <alignment horizontal="left" wrapText="1"/>
    </xf>
    <xf numFmtId="0" fontId="12" fillId="0" borderId="0" xfId="0" applyFont="1" applyFill="1" applyAlignment="1">
      <alignment horizontal="right"/>
    </xf>
    <xf numFmtId="1" fontId="5" fillId="4" borderId="1" xfId="0" applyNumberFormat="1" applyFont="1" applyFill="1" applyBorder="1" applyAlignment="1" applyProtection="1">
      <alignment horizontal="left" wrapText="1"/>
    </xf>
    <xf numFmtId="2" fontId="3" fillId="4" borderId="1" xfId="0" applyNumberFormat="1" applyFont="1" applyFill="1" applyBorder="1" applyAlignment="1" applyProtection="1">
      <alignment horizontal="left" wrapText="1"/>
    </xf>
    <xf numFmtId="1" fontId="10" fillId="0" borderId="1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left" vertical="top" wrapText="1"/>
    </xf>
    <xf numFmtId="165" fontId="2" fillId="2" borderId="1" xfId="0" applyNumberFormat="1" applyFont="1" applyFill="1" applyBorder="1" applyAlignment="1" applyProtection="1">
      <alignment horizontal="left" wrapText="1"/>
    </xf>
    <xf numFmtId="2" fontId="13" fillId="2" borderId="1" xfId="0" applyNumberFormat="1" applyFont="1" applyFill="1" applyBorder="1" applyAlignment="1" applyProtection="1">
      <alignment horizontal="right"/>
    </xf>
    <xf numFmtId="3" fontId="1" fillId="0" borderId="9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right"/>
    </xf>
    <xf numFmtId="2" fontId="3" fillId="0" borderId="13" xfId="0" applyNumberFormat="1" applyFont="1" applyFill="1" applyBorder="1" applyAlignment="1" applyProtection="1">
      <alignment horizontal="right"/>
    </xf>
    <xf numFmtId="2" fontId="13" fillId="0" borderId="14" xfId="0" applyNumberFormat="1" applyFont="1" applyFill="1" applyBorder="1" applyAlignment="1" applyProtection="1">
      <alignment horizontal="right"/>
    </xf>
    <xf numFmtId="3" fontId="1" fillId="0" borderId="12" xfId="0" applyNumberFormat="1" applyFont="1" applyFill="1" applyBorder="1" applyAlignment="1" applyProtection="1">
      <alignment horizontal="left" vertical="top" wrapText="1"/>
    </xf>
    <xf numFmtId="3" fontId="1" fillId="0" borderId="2" xfId="0" applyNumberFormat="1" applyFont="1" applyFill="1" applyBorder="1" applyAlignment="1" applyProtection="1">
      <alignment vertical="top" wrapText="1"/>
    </xf>
    <xf numFmtId="3" fontId="1" fillId="0" borderId="9" xfId="0" applyNumberFormat="1" applyFont="1" applyFill="1" applyBorder="1" applyAlignment="1" applyProtection="1">
      <alignment vertical="top" wrapText="1"/>
    </xf>
    <xf numFmtId="3" fontId="1" fillId="0" borderId="12" xfId="0" applyNumberFormat="1" applyFont="1" applyFill="1" applyBorder="1" applyAlignment="1" applyProtection="1">
      <alignment vertical="top" wrapText="1"/>
    </xf>
    <xf numFmtId="3" fontId="7" fillId="0" borderId="9" xfId="0" applyNumberFormat="1" applyFont="1" applyFill="1" applyBorder="1" applyAlignment="1" applyProtection="1">
      <alignment horizontal="left" vertical="top"/>
    </xf>
    <xf numFmtId="2" fontId="13" fillId="4" borderId="1" xfId="0" applyNumberFormat="1" applyFont="1" applyFill="1" applyBorder="1" applyAlignment="1" applyProtection="1">
      <alignment horizontal="right"/>
    </xf>
    <xf numFmtId="1" fontId="13" fillId="0" borderId="1" xfId="0" applyNumberFormat="1" applyFont="1" applyFill="1" applyBorder="1" applyAlignment="1" applyProtection="1">
      <alignment horizontal="right"/>
    </xf>
    <xf numFmtId="2" fontId="3" fillId="4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left" vertical="top" wrapText="1"/>
    </xf>
    <xf numFmtId="2" fontId="13" fillId="0" borderId="1" xfId="1" applyNumberFormat="1" applyFont="1" applyFill="1" applyBorder="1" applyAlignment="1" applyProtection="1">
      <alignment horizontal="right"/>
    </xf>
    <xf numFmtId="2" fontId="3" fillId="0" borderId="1" xfId="2" applyNumberFormat="1" applyFont="1" applyFill="1" applyBorder="1" applyAlignment="1" applyProtection="1">
      <alignment horizontal="right"/>
    </xf>
    <xf numFmtId="1" fontId="6" fillId="3" borderId="1" xfId="0" applyNumberFormat="1" applyFont="1" applyFill="1" applyBorder="1" applyAlignment="1" applyProtection="1">
      <alignment horizontal="left" wrapText="1"/>
    </xf>
    <xf numFmtId="2" fontId="18" fillId="3" borderId="1" xfId="0" applyNumberFormat="1" applyFont="1" applyFill="1" applyBorder="1" applyAlignment="1" applyProtection="1">
      <alignment horizontal="left" wrapText="1"/>
    </xf>
    <xf numFmtId="166" fontId="6" fillId="0" borderId="1" xfId="0" applyNumberFormat="1" applyFont="1" applyFill="1" applyBorder="1" applyAlignment="1" applyProtection="1">
      <alignment horizontal="left" wrapText="1"/>
    </xf>
    <xf numFmtId="1" fontId="6" fillId="0" borderId="1" xfId="0" applyNumberFormat="1" applyFont="1" applyFill="1" applyBorder="1" applyAlignment="1" applyProtection="1">
      <alignment horizontal="left" wrapText="1"/>
    </xf>
    <xf numFmtId="165" fontId="19" fillId="0" borderId="1" xfId="0" applyNumberFormat="1" applyFont="1" applyFill="1" applyBorder="1" applyAlignment="1" applyProtection="1">
      <alignment horizontal="left" wrapText="1"/>
    </xf>
    <xf numFmtId="165" fontId="20" fillId="0" borderId="1" xfId="0" applyNumberFormat="1" applyFont="1" applyFill="1" applyBorder="1" applyAlignment="1" applyProtection="1">
      <alignment horizontal="left" wrapText="1"/>
    </xf>
    <xf numFmtId="3" fontId="1" fillId="0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165" fontId="5" fillId="0" borderId="1" xfId="0" applyNumberFormat="1" applyFont="1" applyFill="1" applyBorder="1" applyAlignment="1" applyProtection="1">
      <alignment horizontal="left" wrapText="1"/>
    </xf>
    <xf numFmtId="165" fontId="10" fillId="0" borderId="1" xfId="0" applyNumberFormat="1" applyFont="1" applyFill="1" applyBorder="1" applyAlignment="1" applyProtection="1">
      <alignment horizontal="right" wrapText="1"/>
    </xf>
    <xf numFmtId="2" fontId="11" fillId="0" borderId="1" xfId="0" applyNumberFormat="1" applyFont="1" applyFill="1" applyBorder="1" applyAlignment="1" applyProtection="1">
      <alignment horizontal="right" wrapText="1"/>
    </xf>
    <xf numFmtId="165" fontId="10" fillId="0" borderId="1" xfId="0" applyNumberFormat="1" applyFont="1" applyFill="1" applyBorder="1" applyAlignment="1" applyProtection="1">
      <alignment horizontal="left" wrapText="1"/>
    </xf>
    <xf numFmtId="2" fontId="10" fillId="0" borderId="1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>
      <alignment horizontal="right"/>
    </xf>
    <xf numFmtId="164" fontId="5" fillId="0" borderId="1" xfId="0" applyNumberFormat="1" applyFont="1" applyFill="1" applyBorder="1" applyAlignment="1" applyProtection="1">
      <alignment horizontal="left" vertical="top" wrapText="1"/>
    </xf>
    <xf numFmtId="2" fontId="21" fillId="0" borderId="1" xfId="0" applyNumberFormat="1" applyFont="1" applyFill="1" applyBorder="1" applyAlignment="1" applyProtection="1">
      <alignment horizontal="right"/>
    </xf>
    <xf numFmtId="2" fontId="3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 applyProtection="1">
      <alignment horizontal="right"/>
    </xf>
    <xf numFmtId="2" fontId="3" fillId="0" borderId="12" xfId="0" applyNumberFormat="1" applyFont="1" applyFill="1" applyBorder="1" applyAlignment="1" applyProtection="1">
      <alignment horizontal="right"/>
    </xf>
    <xf numFmtId="1" fontId="3" fillId="0" borderId="12" xfId="0" applyNumberFormat="1" applyFont="1" applyFill="1" applyBorder="1" applyAlignment="1" applyProtection="1">
      <alignment horizontal="right"/>
    </xf>
    <xf numFmtId="2" fontId="13" fillId="2" borderId="10" xfId="0" applyNumberFormat="1" applyFont="1" applyFill="1" applyBorder="1" applyAlignment="1" applyProtection="1">
      <alignment horizontal="right"/>
    </xf>
    <xf numFmtId="2" fontId="13" fillId="2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 vertical="center"/>
    </xf>
    <xf numFmtId="3" fontId="1" fillId="0" borderId="1" xfId="0" applyNumberFormat="1" applyFont="1" applyFill="1" applyBorder="1" applyAlignment="1" applyProtection="1">
      <alignment horizontal="right" wrapText="1"/>
    </xf>
    <xf numFmtId="0" fontId="22" fillId="0" borderId="0" xfId="0" applyFont="1"/>
    <xf numFmtId="3" fontId="1" fillId="0" borderId="1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horizontal="left" wrapText="1"/>
    </xf>
    <xf numFmtId="1" fontId="5" fillId="0" borderId="0" xfId="0" applyNumberFormat="1" applyFont="1" applyFill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166" fontId="5" fillId="0" borderId="0" xfId="0" applyNumberFormat="1" applyFont="1" applyFill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 wrapText="1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 wrapText="1"/>
    </xf>
    <xf numFmtId="0" fontId="24" fillId="0" borderId="0" xfId="0" applyFont="1"/>
    <xf numFmtId="0" fontId="23" fillId="0" borderId="0" xfId="0" applyFont="1" applyAlignment="1">
      <alignment horizontal="left" vertical="top"/>
    </xf>
    <xf numFmtId="1" fontId="23" fillId="0" borderId="0" xfId="0" applyNumberFormat="1" applyFont="1" applyAlignment="1">
      <alignment horizontal="left" vertical="top"/>
    </xf>
    <xf numFmtId="2" fontId="22" fillId="0" borderId="0" xfId="0" applyNumberFormat="1" applyFont="1"/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wrapText="1"/>
    </xf>
    <xf numFmtId="164" fontId="25" fillId="0" borderId="0" xfId="0" applyNumberFormat="1" applyFont="1" applyFill="1" applyAlignment="1">
      <alignment horizontal="left" wrapText="1"/>
    </xf>
    <xf numFmtId="1" fontId="25" fillId="0" borderId="0" xfId="0" applyNumberFormat="1" applyFont="1" applyFill="1" applyAlignment="1">
      <alignment horizontal="left" wrapText="1"/>
    </xf>
    <xf numFmtId="1" fontId="25" fillId="0" borderId="0" xfId="0" applyNumberFormat="1" applyFont="1" applyAlignment="1">
      <alignment horizontal="left" wrapText="1"/>
    </xf>
    <xf numFmtId="166" fontId="25" fillId="0" borderId="0" xfId="0" applyNumberFormat="1" applyFont="1" applyFill="1" applyAlignment="1">
      <alignment horizontal="left" wrapText="1"/>
    </xf>
    <xf numFmtId="165" fontId="26" fillId="0" borderId="0" xfId="0" applyNumberFormat="1" applyFont="1" applyFill="1" applyAlignment="1">
      <alignment horizontal="left" wrapText="1"/>
    </xf>
    <xf numFmtId="2" fontId="26" fillId="0" borderId="0" xfId="0" applyNumberFormat="1" applyFont="1" applyFill="1" applyAlignment="1">
      <alignment horizontal="left" wrapText="1"/>
    </xf>
    <xf numFmtId="2" fontId="22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textRotation="90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textRotation="90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1;&#1080;&#1088;&#1080;&#1083;&#1102;&#1089;&#1089;&#1082;&#1080;&#1081;\&#1056;&#1040;&#1057;&#1063;&#1045;&#1058;.%20&#1042;&#1045;&#1044;&#1054;&#1052;&#1054;&#1057;&#1058;&#1068;%20&#1041;&#1048;&#1056;&#1048;&#1051;&#1070;&#1057;&#1057;&#1067;%202014%20&#1047;&#1052;&#105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4;&#1077;&#1083;&#1100;&#1103;&#1085;&#1086;&#1074;&#1089;&#1082;&#1080;&#1081;\&#1047;&#1052;&#1059;%202014%20...&#1055;&#1054;%20&#1050;&#1091;&#1084;&#1095;&#1091;&#1075;%20&#1086;&#1082;&#1086;&#10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5;&#1080;&#1089;&#1077;&#1081;&#1089;&#1082;&#1080;&#1081;\&#1047;&#1052;&#1059;%202014%20&#1079;&#1074;&#1077;&#1088;&#1080;%20&#1054;&#1054;&#1059;%20&#1080;%20&#1045;&#1085;&#1080;&#1089;&#1077;&#1081;&#1089;&#1082;&#1080;&#1081;%20&#1082;&#1088;&#1103;&#1078;%20&#1045;&#1085;&#1080;&#1089;&#1077;&#1081;&#1089;&#1082;&#1080;&#1081;%20..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5;&#1080;&#1089;&#1077;&#1081;&#1089;&#1082;&#1080;&#1081;\&#1047;&#1052;&#1059;%202014.&#1045;&#1085;&#1080;&#1089;&#1077;&#1081;&#1089;&#1082;&#1080;&#1081;%20&#1052;&#1054;&#1054;&#1054;&#1080;&#1056;..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5;&#1080;&#1089;&#1077;&#1081;&#1089;&#1082;&#1080;&#1081;\&#1056;&#1072;&#1089;&#1095;&#1077;&#1090;%20&#1047;&#1052;&#1059;%202014.&#1052;&#1054;&#1054;&#1054;%20&#1051;&#1091;&#1094;&#1082;&#1080;&#1081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7;&#1052;&#1059;%202014%20...&#1052;&#1054;&#1054;&#1054;%20&#1048;&#1083;&#1072;&#1085;&#1089;&#1082;&#1086;&#1075;&#1086;%20&#1088;&#1072;&#1081;&#1086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8;&#1088;&#1073;&#1077;&#1081;&#1089;&#1082;&#1080;&#1081;\&#1047;&#1052;&#1059;%202014%20&#1054;&#1054;&#1059;%20&#1048;&#1088;&#1073;&#1077;&#1081;&#1089;&#1082;&#1080;&#1081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8;&#1088;&#1073;&#1077;&#1081;&#1089;&#1082;&#1080;&#1081;\&#1047;&#1052;&#1059;%202014%20&#1054;&#1054;&#1054;%20&#1040;&#1075;&#1091;&#1083;&#1100;&#1089;&#1082;&#1086;&#1077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8;&#1088;&#1073;&#1077;&#1081;&#1089;&#1082;&#1080;&#1081;\&#1047;&#1052;&#1059;%202014%20(&#1045;&#1076;&#1080;&#1085;&#1089;&#1090;&#1074;&#1086;)%20&#1086;&#1082;&#1086;&#1085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7;&#1052;&#1059;%202014%20...&#1052;&#1054;&#1054;&#1054;%20&#1050;&#1072;&#1085;&#1089;&#1082;&#1086;&#1075;&#1086;%20&#1088;&#1072;&#1081;&#1086;&#1085;&#107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0;&#1091;&#1088;&#1072;&#1075;&#1080;&#1085;&#1089;&#1082;&#1080;&#1081;%20&#1074;&#1089;&#1077;\&#1047;&#1052;&#1059;%202014%20...&#1054;&#1054;&#1054;%20&#1050;&#1091;&#1088;&#1072;&#1075;&#1080;&#1085;&#1089;&#1082;&#1080;&#1081;%20&#1087;&#1088;&#1086;&#1084;&#1093;&#1086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1;&#1080;&#1088;&#1080;&#1083;&#1102;&#1089;&#1089;&#1082;&#1080;&#1081;\&#1047;&#1052;&#1059;%202014_&#1052;&#1077;&#1076;&#1080;&#1082;&#1089;_&#1041;&#1080;&#1088;&#1080;&#1083;&#1102;&#1089;&#1089;&#1082;&#1080;&#1081;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2;&#1072;&#1085;&#1089;&#1082;&#1080;&#1081;\&#1047;&#1052;&#1059;%202014%20....&#1054;&#1054;&#1059;%20&#1052;&#1072;&#1085;&#1089;&#1082;&#1086;&#1075;&#1086;%20&#1088;&#1072;&#1081;&#1086;&#1085;&#1072;%20&#1086;&#1082;&#1086;&#1085;&#1095;&#1072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2;&#1072;&#1085;&#1089;&#1082;&#1080;&#1081;\&#1047;&#1052;&#1059;%202014&#1047;&#1072;&#1084;&#1072;&#1085;&#1100;&#1077;%20&#1086;&#1082;&#1086;&#1085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7;&#1052;&#1059;%202014%20...&#1053;&#1080;&#1078;&#1085;&#1077;-&#1048;&#1085;&#1075;&#1072;&#1096;&#1089;&#1082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69;&#1050;&#1054;&#1056;&#1045;&#1057;&#1059;&#1056;&#1057;&#1047;&#1052;&#1059;%20201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5;&#1072;&#1088;&#1090;&#1080;&#1079;&#1072;&#1085;&#1089;&#1082;&#1080;&#1081;\&#1047;&#1052;&#1059;%202014%20...&#1054;&#1054;&#1059;%20&#1055;&#1072;&#1088;&#1090;&#1080;&#1079;&#1072;&#1085;&#1089;&#1082;&#1080;&#1081;%20&#1088;&#1072;&#1081;&#1086;&#1085;%20&#1086;&#1082;&#1086;&#108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5;&#1072;&#1088;&#1090;&#1080;&#1079;&#1072;&#1085;&#1089;&#1082;&#1080;&#1081;\&#1047;&#1052;&#1059;%202014%20...&#1054;&#1054;&#1054;%20&#1056;&#1054;&#1050;%20&#1057;&#1086;&#1088;&#1086;&#1082;&#1086;&#1087;&#1086;&#1083;&#1100;&#1077;%20&#1086;&#1082;&#1086;&#10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5;&#1072;&#1088;&#1090;&#1080;&#1079;&#1072;&#1085;&#1089;&#1082;&#1080;&#1081;\&#1047;&#1052;&#1059;%202014_&#1050;&#1088;&#1077;&#1095;&#1077;&#1090;_&#1055;&#1072;&#1088;&#1090;&#1080;&#1079;&#1072;&#1085;&#1089;&#1082;&#1080;&#1081;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5;&#1072;&#1088;&#1090;&#1080;&#1079;&#1072;&#1085;&#1089;&#1082;&#1080;&#1081;\&#1047;&#1052;&#1059;%202014%20._.&#1054;&#1054;&#1054;%20&#1040;&#1083;&#1100;&#1092;%20&#1050;&#1088;&#1072;&#1089;&#1085;&#1086;&#1103;&#1088;&#1089;&#1082;%20&#1086;&#1082;&#1086;&#10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7;&#1072;&#1103;&#1085;&#1089;&#1082;&#1080;&#1081;\&#1056;&#1054;&#1054;&#1054;%20&#1050;&#1040;&#1053;%20&#1047;&#1052;&#1059;%202014%20&#1057;&#1040;&#1071;&#1053;&#1057;&#1050;&#1048;&#1049;%20&#1088;&#1072;&#1081;&#1086;&#1085;%20&#1086;&#1082;&#1086;&#1085;&#1095;..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7;&#1072;&#1103;&#1085;&#1089;&#1082;&#1080;&#1081;\&#1047;&#1052;&#1059;%202014%20...&#1050;&#1056;&#1054;&#1054;%20&#1057;&#1072;&#1103;&#1085;&#1099;%20(&#1057;&#1072;&#1103;&#1085;&#1089;&#1082;&#1080;&#1081;)%20&#1086;&#1082;&#1086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1;&#1080;&#1088;&#1080;&#1083;&#1102;&#1089;&#1089;&#1082;&#1080;&#1081;\&#1047;&#1052;&#1059;%202014%20&#1051;&#1086;&#1089;&#1080;&#1085;&#1099;&#1081;%20&#1091;&#1075;&#1086;&#1083;%2005.03.14%20&#1075;.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7;-&#1045;&#1085;&#1080;&#1089;&#1077;&#1081;&#1089;&#1082;&#1080;&#1081;%20&#1074;&#1089;&#1077;\&#1047;&#1052;&#1059;%202014...&#1086;&#1086;&#1091;%20&#1089;&#1077;&#1074;&#1077;&#1088;&#1086;-&#1077;&#1085;&#1080;&#1089;&#1077;&#1081;&#1089;&#1082;&#1080;&#1081;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7;-&#1045;&#1085;&#1080;&#1089;&#1077;&#1081;&#1089;&#1082;&#1080;&#1081;%20&#1074;&#1089;&#1077;\&#1079;&#1084;&#1091;%202014%20&#1089;&#1077;&#1074;&#1077;&#1088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7;-&#1045;&#1085;&#1080;&#1089;&#1077;&#1081;&#1089;&#1082;&#1080;&#1081;%20&#1074;&#1089;&#1077;\&#1047;&#1052;&#1059;%202014%20...&#1048;&#1055;%20&#1055;&#1086;&#1076;&#1086;&#1083;&#1103;&#1082;%20&#1042;.&#1052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8;&#1040;&#1057;&#1045;&#1045;&#1042;&#1057;&#1050;&#1048;&#1049;%20&#1056;&#1040;&#1049;&#1054;&#1053;\&#1059;&#1095;&#1077;&#1090;&#1099;%20&#1054;&#1054;&#1059;%202014\&#1047;&#1052;&#1059;%202014...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8;&#1040;&#1057;&#1045;&#1045;&#1042;&#1057;&#1050;&#1048;&#1049;%20&#1056;&#1040;&#1049;&#1054;&#1053;\&#1047;&#1052;&#1059;%202014..&#1041;&#1077;&#1083;&#1080;&#1089;&#1082;&#1072;&#1079;%20&#1058;&#1072;&#1089;&#1077;&#1077;&#1074;&#1089;&#1082;&#1080;&#1081;.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8;&#1102;&#1093;&#1090;&#1077;&#1089;&#1082;&#1080;&#1081;,%20&#1073;&#1086;&#1075;&#1086;&#1090;&#1086;&#1083;&#1089;&#1082;&#1080;&#1081;%20&#1047;&#1052;&#1059;\&#1058;&#1102;&#1093;&#1090;&#1077;&#1089;&#1082;&#1080;&#1081;%20&#1080;&#1089;&#1087;&#1088;&#1072;&#1074;&#1083;&#1077;&#1085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8;&#1102;&#1093;&#1090;&#1077;&#1089;&#1082;&#1080;&#1081;,%20&#1073;&#1086;&#1075;&#1086;&#1090;&#1086;&#1083;&#1089;&#1082;&#1080;&#1081;%20&#1047;&#1052;&#1059;\&#1047;&#1052;&#1059;%202014%20...&#1054;&#1054;&#1054;%20&#1060;&#1086;&#1088;&#1077;&#1089;&#109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64;&#1091;&#1096;&#1077;&#1085;&#1089;&#1082;&#1080;&#1081;\&#1047;&#1052;&#1059;%202014%20&#1052;&#1054;&#1054;&#1054;&#1080;&#1056;%20&#1064;&#1091;&#1096;&#1077;&#1085;&#1089;&#1082;&#1086;&#107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58;&#1102;&#1093;&#1090;&#1077;&#1089;&#1082;&#1080;&#1081;,%20&#1073;&#1086;&#1075;&#1086;&#1090;&#1086;&#1083;&#1089;&#1082;&#1080;&#1081;%20&#1047;&#1052;&#1059;\&#1047;&#1052;&#1059;%202014%20...&#1054;&#1054;&#1059;%20&#1041;&#1086;&#1075;&#1086;&#1090;&#1086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1;&#1086;&#1075;&#1091;&#1095;&#1072;&#1085;&#1089;&#1082;&#1080;&#1081;\&#1047;&#1052;&#1059;%202014%20...&#1054;&#1054;&#1054;%20&#1054;&#1055;&#1061;%20&#1054;&#1103;&#1093;&#1090;&#1080;&#1085;&#1089;&#1082;&#1086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1;&#1086;&#1075;&#1091;&#1095;&#1072;&#1085;&#1089;&#1082;&#1080;&#1081;\&#1089;&#1080;&#1073;&#1089;&#1101;&#1073;&#1083;%20&#1073;&#1088;&#1072;&#1082;-2,%20&#1086;&#1082;&#1086;&#1085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7;&#1052;&#1059;%20&#1052;&#1054;&#1054;&#1054;%20&#1044;&#1079;&#1077;&#1088;&#1078;&#1080;&#1085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4;&#1077;&#1083;&#1100;&#1103;&#1085;&#1086;&#1074;&#1089;&#1082;&#1080;&#1081;\&#1047;&#1052;&#1059;%202014%20&#1044;&#1080;&#1085;&#1072;&#1084;&#1086;%20&#1052;&#1086;&#1078;&#1072;&#1088;&#1099;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v\Documents\&#1059;&#1063;&#1045;&#1058;\&#1047;&#1052;&#1059;%202014\&#1074;&#1077;&#1076;&#1086;&#1084;&#1086;&#1089;&#1090;&#1080;%20&#1088;&#1072;&#1081;&#1086;&#1085;&#1086;&#1074;%20&#1086;&#1082;&#1086;&#1085;&#1095;&#1072;&#1090;&#1077;&#1083;&#1100;&#1085;&#1099;&#1077;\&#1045;&#1084;&#1077;&#1083;&#1100;&#1103;&#1085;&#1086;&#1074;&#1089;&#1082;&#1080;&#1081;\&#1045;&#1084;&#1077;&#1083;&#1100;&#1103;&#1085;&#1086;&#1074;&#1089;&#1082;&#1086;&#1077;%20&#1056;&#1054;&#1054;&#1080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989.94</v>
          </cell>
        </row>
      </sheetData>
      <sheetData sheetId="4">
        <row r="7">
          <cell r="M7">
            <v>0</v>
          </cell>
        </row>
      </sheetData>
      <sheetData sheetId="5">
        <row r="5">
          <cell r="M5">
            <v>989.94</v>
          </cell>
        </row>
      </sheetData>
      <sheetData sheetId="6">
        <row r="5">
          <cell r="M5">
            <v>989.94</v>
          </cell>
          <cell r="N5">
            <v>40.67</v>
          </cell>
          <cell r="O5">
            <v>30.52</v>
          </cell>
        </row>
      </sheetData>
      <sheetData sheetId="7"/>
      <sheetData sheetId="8"/>
      <sheetData sheetId="9"/>
      <sheetData sheetId="10">
        <row r="5">
          <cell r="M5">
            <v>989.94</v>
          </cell>
        </row>
      </sheetData>
      <sheetData sheetId="11"/>
      <sheetData sheetId="12"/>
      <sheetData sheetId="13"/>
      <sheetData sheetId="14">
        <row r="5">
          <cell r="M5">
            <v>989.94</v>
          </cell>
        </row>
      </sheetData>
      <sheetData sheetId="15">
        <row r="5">
          <cell r="M5">
            <v>989.94</v>
          </cell>
        </row>
      </sheetData>
      <sheetData sheetId="16"/>
      <sheetData sheetId="17"/>
      <sheetData sheetId="18"/>
      <sheetData sheetId="19">
        <row r="5">
          <cell r="M5">
            <v>989.94</v>
          </cell>
        </row>
      </sheetData>
      <sheetData sheetId="20">
        <row r="5">
          <cell r="M5">
            <v>989.94</v>
          </cell>
        </row>
      </sheetData>
      <sheetData sheetId="21">
        <row r="5">
          <cell r="M5">
            <v>989.94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78">
          <cell r="F78" t="str">
            <v xml:space="preserve">     -      </v>
          </cell>
        </row>
      </sheetData>
      <sheetData sheetId="2"/>
      <sheetData sheetId="3"/>
      <sheetData sheetId="4">
        <row r="5">
          <cell r="M5">
            <v>54.7</v>
          </cell>
        </row>
      </sheetData>
      <sheetData sheetId="5"/>
      <sheetData sheetId="6">
        <row r="5">
          <cell r="M5">
            <v>54.7</v>
          </cell>
          <cell r="N5">
            <v>8.6999999999999993</v>
          </cell>
        </row>
      </sheetData>
      <sheetData sheetId="7">
        <row r="5">
          <cell r="M5">
            <v>54.7</v>
          </cell>
        </row>
      </sheetData>
      <sheetData sheetId="8"/>
      <sheetData sheetId="9"/>
      <sheetData sheetId="10"/>
      <sheetData sheetId="11"/>
      <sheetData sheetId="12">
        <row r="5">
          <cell r="M5">
            <v>54.7</v>
          </cell>
        </row>
      </sheetData>
      <sheetData sheetId="13"/>
      <sheetData sheetId="14">
        <row r="5">
          <cell r="M5">
            <v>54.7</v>
          </cell>
        </row>
      </sheetData>
      <sheetData sheetId="15">
        <row r="5">
          <cell r="M5">
            <v>54.7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54.7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81">
          <cell r="F81">
            <v>0.52</v>
          </cell>
        </row>
      </sheetData>
      <sheetData sheetId="2"/>
      <sheetData sheetId="3">
        <row r="5">
          <cell r="M5">
            <v>4539.5</v>
          </cell>
        </row>
      </sheetData>
      <sheetData sheetId="4"/>
      <sheetData sheetId="5"/>
      <sheetData sheetId="6">
        <row r="5">
          <cell r="M5">
            <v>4539.5</v>
          </cell>
          <cell r="N5">
            <v>6.3</v>
          </cell>
          <cell r="O5">
            <v>740.9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4539.5</v>
          </cell>
        </row>
      </sheetData>
      <sheetData sheetId="15">
        <row r="5">
          <cell r="M5">
            <v>4539.5</v>
          </cell>
        </row>
      </sheetData>
      <sheetData sheetId="16"/>
      <sheetData sheetId="17"/>
      <sheetData sheetId="18">
        <row r="5">
          <cell r="M5">
            <v>4539.5</v>
          </cell>
        </row>
      </sheetData>
      <sheetData sheetId="19"/>
      <sheetData sheetId="20"/>
      <sheetData sheetId="21">
        <row r="5">
          <cell r="M5">
            <v>4539.5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83">
          <cell r="F83" t="str">
            <v xml:space="preserve">     -      </v>
          </cell>
        </row>
      </sheetData>
      <sheetData sheetId="2"/>
      <sheetData sheetId="3">
        <row r="5">
          <cell r="M5">
            <v>1143</v>
          </cell>
        </row>
      </sheetData>
      <sheetData sheetId="4">
        <row r="5">
          <cell r="M5">
            <v>1143</v>
          </cell>
        </row>
      </sheetData>
      <sheetData sheetId="5">
        <row r="5">
          <cell r="M5">
            <v>1143</v>
          </cell>
        </row>
      </sheetData>
      <sheetData sheetId="6">
        <row r="5">
          <cell r="M5">
            <v>1143</v>
          </cell>
          <cell r="N5">
            <v>39.200000000000003</v>
          </cell>
          <cell r="O5">
            <v>33</v>
          </cell>
        </row>
      </sheetData>
      <sheetData sheetId="7"/>
      <sheetData sheetId="8"/>
      <sheetData sheetId="9">
        <row r="5">
          <cell r="M5">
            <v>125</v>
          </cell>
        </row>
      </sheetData>
      <sheetData sheetId="10">
        <row r="5">
          <cell r="M5">
            <v>1143</v>
          </cell>
        </row>
      </sheetData>
      <sheetData sheetId="11"/>
      <sheetData sheetId="12">
        <row r="5">
          <cell r="M5">
            <v>338</v>
          </cell>
        </row>
      </sheetData>
      <sheetData sheetId="13"/>
      <sheetData sheetId="14">
        <row r="5">
          <cell r="M5">
            <v>1143</v>
          </cell>
        </row>
      </sheetData>
      <sheetData sheetId="15">
        <row r="5">
          <cell r="M5">
            <v>1143</v>
          </cell>
        </row>
      </sheetData>
      <sheetData sheetId="16"/>
      <sheetData sheetId="17"/>
      <sheetData sheetId="18"/>
      <sheetData sheetId="19">
        <row r="5">
          <cell r="M5">
            <v>1143</v>
          </cell>
        </row>
      </sheetData>
      <sheetData sheetId="20"/>
      <sheetData sheetId="21">
        <row r="5">
          <cell r="M5">
            <v>1143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84">
          <cell r="F84" t="str">
            <v xml:space="preserve">     -      </v>
          </cell>
        </row>
      </sheetData>
      <sheetData sheetId="2"/>
      <sheetData sheetId="3">
        <row r="5">
          <cell r="M5">
            <v>157.30000000000001</v>
          </cell>
        </row>
      </sheetData>
      <sheetData sheetId="4"/>
      <sheetData sheetId="5"/>
      <sheetData sheetId="6">
        <row r="5">
          <cell r="M5">
            <v>157.30000000000001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157.30000000000001</v>
          </cell>
        </row>
      </sheetData>
      <sheetData sheetId="15">
        <row r="5">
          <cell r="M5">
            <v>157.30000000000001</v>
          </cell>
        </row>
      </sheetData>
      <sheetData sheetId="16"/>
      <sheetData sheetId="17"/>
      <sheetData sheetId="18"/>
      <sheetData sheetId="19">
        <row r="5">
          <cell r="M5">
            <v>157.30000000000001</v>
          </cell>
        </row>
      </sheetData>
      <sheetData sheetId="20"/>
      <sheetData sheetId="21">
        <row r="5">
          <cell r="M5">
            <v>157.30000000000001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Лист1"/>
    </sheetNames>
    <sheetDataSet>
      <sheetData sheetId="0"/>
      <sheetData sheetId="1">
        <row r="103">
          <cell r="F103" t="str">
            <v xml:space="preserve">     -      </v>
          </cell>
        </row>
      </sheetData>
      <sheetData sheetId="2"/>
      <sheetData sheetId="3"/>
      <sheetData sheetId="4">
        <row r="5">
          <cell r="M5">
            <v>129.80000000000001</v>
          </cell>
        </row>
      </sheetData>
      <sheetData sheetId="5"/>
      <sheetData sheetId="6">
        <row r="5">
          <cell r="M5">
            <v>129.80000000000001</v>
          </cell>
          <cell r="N5">
            <v>27.5</v>
          </cell>
          <cell r="O5">
            <v>7.9</v>
          </cell>
        </row>
      </sheetData>
      <sheetData sheetId="7"/>
      <sheetData sheetId="8"/>
      <sheetData sheetId="9"/>
      <sheetData sheetId="10">
        <row r="5">
          <cell r="M5">
            <v>129.80000000000001</v>
          </cell>
        </row>
      </sheetData>
      <sheetData sheetId="11"/>
      <sheetData sheetId="12">
        <row r="5">
          <cell r="M5">
            <v>129.80000000000001</v>
          </cell>
        </row>
      </sheetData>
      <sheetData sheetId="13"/>
      <sheetData sheetId="14">
        <row r="5">
          <cell r="M5">
            <v>129.80000000000001</v>
          </cell>
        </row>
      </sheetData>
      <sheetData sheetId="15">
        <row r="5">
          <cell r="M5">
            <v>129.80000000000001</v>
          </cell>
        </row>
      </sheetData>
      <sheetData sheetId="16">
        <row r="5">
          <cell r="M5">
            <v>129.80000000000001</v>
          </cell>
        </row>
      </sheetData>
      <sheetData sheetId="17"/>
      <sheetData sheetId="18"/>
      <sheetData sheetId="19"/>
      <sheetData sheetId="20">
        <row r="5">
          <cell r="M5">
            <v>129.80000000000001</v>
          </cell>
        </row>
      </sheetData>
      <sheetData sheetId="21">
        <row r="5">
          <cell r="M5">
            <v>129.80000000000001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05">
          <cell r="F105">
            <v>0.68</v>
          </cell>
        </row>
      </sheetData>
      <sheetData sheetId="2"/>
      <sheetData sheetId="3"/>
      <sheetData sheetId="4">
        <row r="5">
          <cell r="M5">
            <v>605.9</v>
          </cell>
        </row>
      </sheetData>
      <sheetData sheetId="5"/>
      <sheetData sheetId="6">
        <row r="5">
          <cell r="M5">
            <v>605.9</v>
          </cell>
          <cell r="N5">
            <v>69.900000000000006</v>
          </cell>
          <cell r="O5">
            <v>12.5</v>
          </cell>
        </row>
      </sheetData>
      <sheetData sheetId="7">
        <row r="5">
          <cell r="M5">
            <v>605.9</v>
          </cell>
        </row>
      </sheetData>
      <sheetData sheetId="8"/>
      <sheetData sheetId="9">
        <row r="5">
          <cell r="M5">
            <v>605.9</v>
          </cell>
        </row>
      </sheetData>
      <sheetData sheetId="10">
        <row r="5">
          <cell r="M5">
            <v>605.9</v>
          </cell>
        </row>
      </sheetData>
      <sheetData sheetId="11"/>
      <sheetData sheetId="12">
        <row r="5">
          <cell r="M5">
            <v>605.9</v>
          </cell>
        </row>
      </sheetData>
      <sheetData sheetId="13"/>
      <sheetData sheetId="14">
        <row r="5">
          <cell r="M5">
            <v>605.9</v>
          </cell>
        </row>
      </sheetData>
      <sheetData sheetId="15">
        <row r="5">
          <cell r="M5">
            <v>605.9</v>
          </cell>
        </row>
      </sheetData>
      <sheetData sheetId="16">
        <row r="5">
          <cell r="M5">
            <v>605.9</v>
          </cell>
        </row>
      </sheetData>
      <sheetData sheetId="17"/>
      <sheetData sheetId="18"/>
      <sheetData sheetId="19"/>
      <sheetData sheetId="20"/>
      <sheetData sheetId="21">
        <row r="5">
          <cell r="M5">
            <v>605.9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06">
          <cell r="F106">
            <v>0.65</v>
          </cell>
        </row>
      </sheetData>
      <sheetData sheetId="2"/>
      <sheetData sheetId="3"/>
      <sheetData sheetId="4"/>
      <sheetData sheetId="5"/>
      <sheetData sheetId="6">
        <row r="5">
          <cell r="M5">
            <v>27.2</v>
          </cell>
        </row>
      </sheetData>
      <sheetData sheetId="7"/>
      <sheetData sheetId="8"/>
      <sheetData sheetId="9">
        <row r="5">
          <cell r="M5">
            <v>27.2</v>
          </cell>
        </row>
      </sheetData>
      <sheetData sheetId="10"/>
      <sheetData sheetId="11"/>
      <sheetData sheetId="12"/>
      <sheetData sheetId="13"/>
      <sheetData sheetId="14"/>
      <sheetData sheetId="15">
        <row r="5">
          <cell r="M5">
            <v>27.2</v>
          </cell>
        </row>
      </sheetData>
      <sheetData sheetId="16">
        <row r="5">
          <cell r="M5">
            <v>27.2</v>
          </cell>
        </row>
      </sheetData>
      <sheetData sheetId="17"/>
      <sheetData sheetId="18"/>
      <sheetData sheetId="19"/>
      <sheetData sheetId="20"/>
      <sheetData sheetId="21">
        <row r="5">
          <cell r="M5">
            <v>27.2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07">
          <cell r="F107">
            <v>0.66</v>
          </cell>
        </row>
      </sheetData>
      <sheetData sheetId="2"/>
      <sheetData sheetId="3">
        <row r="5">
          <cell r="M5">
            <v>230.9</v>
          </cell>
        </row>
      </sheetData>
      <sheetData sheetId="4">
        <row r="5">
          <cell r="M5">
            <v>230.9</v>
          </cell>
        </row>
      </sheetData>
      <sheetData sheetId="5">
        <row r="5">
          <cell r="M5">
            <v>230.9</v>
          </cell>
        </row>
      </sheetData>
      <sheetData sheetId="6">
        <row r="5">
          <cell r="M5">
            <v>230.9</v>
          </cell>
          <cell r="N5">
            <v>9.8000000000000007</v>
          </cell>
          <cell r="O5">
            <v>6.3</v>
          </cell>
        </row>
      </sheetData>
      <sheetData sheetId="7"/>
      <sheetData sheetId="8">
        <row r="5">
          <cell r="M5">
            <v>230.9</v>
          </cell>
        </row>
      </sheetData>
      <sheetData sheetId="9">
        <row r="5">
          <cell r="M5">
            <v>230.9</v>
          </cell>
        </row>
      </sheetData>
      <sheetData sheetId="10">
        <row r="5">
          <cell r="M5">
            <v>230.9</v>
          </cell>
        </row>
      </sheetData>
      <sheetData sheetId="11"/>
      <sheetData sheetId="12">
        <row r="5">
          <cell r="M5">
            <v>230.9</v>
          </cell>
        </row>
      </sheetData>
      <sheetData sheetId="13"/>
      <sheetData sheetId="14">
        <row r="5">
          <cell r="M5">
            <v>230.9</v>
          </cell>
        </row>
      </sheetData>
      <sheetData sheetId="15">
        <row r="5">
          <cell r="M5">
            <v>230.9</v>
          </cell>
        </row>
      </sheetData>
      <sheetData sheetId="16">
        <row r="5">
          <cell r="M5">
            <v>230.9</v>
          </cell>
        </row>
      </sheetData>
      <sheetData sheetId="17"/>
      <sheetData sheetId="18"/>
      <sheetData sheetId="19">
        <row r="5">
          <cell r="M5">
            <v>230.9</v>
          </cell>
        </row>
      </sheetData>
      <sheetData sheetId="20"/>
      <sheetData sheetId="21">
        <row r="5">
          <cell r="M5">
            <v>230.9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20">
          <cell r="F120">
            <v>0.63</v>
          </cell>
        </row>
      </sheetData>
      <sheetData sheetId="2"/>
      <sheetData sheetId="3"/>
      <sheetData sheetId="4"/>
      <sheetData sheetId="5"/>
      <sheetData sheetId="6">
        <row r="5">
          <cell r="M5">
            <v>76.400000000000006</v>
          </cell>
          <cell r="O5">
            <v>1.8</v>
          </cell>
        </row>
      </sheetData>
      <sheetData sheetId="7">
        <row r="5">
          <cell r="M5">
            <v>76.400000000000006</v>
          </cell>
        </row>
      </sheetData>
      <sheetData sheetId="8"/>
      <sheetData sheetId="9"/>
      <sheetData sheetId="10"/>
      <sheetData sheetId="11"/>
      <sheetData sheetId="12">
        <row r="5">
          <cell r="M5">
            <v>76.400000000000006</v>
          </cell>
        </row>
      </sheetData>
      <sheetData sheetId="13"/>
      <sheetData sheetId="14">
        <row r="5">
          <cell r="M5">
            <v>76.400000000000006</v>
          </cell>
        </row>
      </sheetData>
      <sheetData sheetId="15">
        <row r="5">
          <cell r="M5">
            <v>76.400000000000006</v>
          </cell>
        </row>
      </sheetData>
      <sheetData sheetId="16"/>
      <sheetData sheetId="17"/>
      <sheetData sheetId="18"/>
      <sheetData sheetId="19"/>
      <sheetData sheetId="20">
        <row r="5">
          <cell r="M5">
            <v>76.400000000000006</v>
          </cell>
        </row>
      </sheetData>
      <sheetData sheetId="21">
        <row r="5">
          <cell r="M5">
            <v>76.400000000000006</v>
          </cell>
        </row>
      </sheetData>
      <sheetData sheetId="22">
        <row r="5">
          <cell r="M5">
            <v>76.400000000000006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1621.73</v>
          </cell>
        </row>
      </sheetData>
      <sheetData sheetId="4"/>
      <sheetData sheetId="5"/>
      <sheetData sheetId="6">
        <row r="5">
          <cell r="M5">
            <v>1621.73</v>
          </cell>
          <cell r="N5">
            <v>134.72999999999999</v>
          </cell>
          <cell r="O5">
            <v>6.6</v>
          </cell>
        </row>
      </sheetData>
      <sheetData sheetId="7">
        <row r="5">
          <cell r="M5">
            <v>189.74</v>
          </cell>
        </row>
      </sheetData>
      <sheetData sheetId="8"/>
      <sheetData sheetId="9">
        <row r="5">
          <cell r="M5">
            <v>1621.73</v>
          </cell>
        </row>
      </sheetData>
      <sheetData sheetId="10"/>
      <sheetData sheetId="11"/>
      <sheetData sheetId="12">
        <row r="5">
          <cell r="M5">
            <v>1621.73</v>
          </cell>
        </row>
      </sheetData>
      <sheetData sheetId="13"/>
      <sheetData sheetId="14">
        <row r="5">
          <cell r="M5">
            <v>1621.73</v>
          </cell>
        </row>
      </sheetData>
      <sheetData sheetId="15">
        <row r="5">
          <cell r="M5">
            <v>1621.73</v>
          </cell>
        </row>
      </sheetData>
      <sheetData sheetId="16">
        <row r="5">
          <cell r="M5">
            <v>1621.73</v>
          </cell>
        </row>
      </sheetData>
      <sheetData sheetId="17"/>
      <sheetData sheetId="18"/>
      <sheetData sheetId="19"/>
      <sheetData sheetId="20"/>
      <sheetData sheetId="21">
        <row r="5">
          <cell r="M5">
            <v>1621.73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M5">
            <v>43</v>
          </cell>
          <cell r="O5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43</v>
          </cell>
        </row>
      </sheetData>
      <sheetData sheetId="15">
        <row r="5">
          <cell r="M5">
            <v>43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43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30.1</v>
          </cell>
        </row>
      </sheetData>
      <sheetData sheetId="4">
        <row r="5">
          <cell r="M5">
            <v>30.1</v>
          </cell>
        </row>
      </sheetData>
      <sheetData sheetId="5">
        <row r="5">
          <cell r="M5">
            <v>30.1</v>
          </cell>
        </row>
      </sheetData>
      <sheetData sheetId="6">
        <row r="5">
          <cell r="M5">
            <v>30.1</v>
          </cell>
          <cell r="N5">
            <v>34.700000000000003</v>
          </cell>
          <cell r="O5">
            <v>3</v>
          </cell>
        </row>
      </sheetData>
      <sheetData sheetId="7"/>
      <sheetData sheetId="8"/>
      <sheetData sheetId="9"/>
      <sheetData sheetId="10">
        <row r="5">
          <cell r="M5">
            <v>30.1</v>
          </cell>
        </row>
      </sheetData>
      <sheetData sheetId="11"/>
      <sheetData sheetId="12">
        <row r="5">
          <cell r="M5">
            <v>30.1</v>
          </cell>
        </row>
      </sheetData>
      <sheetData sheetId="13"/>
      <sheetData sheetId="14">
        <row r="5">
          <cell r="M5">
            <v>30.1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5">
          <cell r="M5">
            <v>30.1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50">
          <cell r="F150">
            <v>0</v>
          </cell>
        </row>
      </sheetData>
      <sheetData sheetId="2"/>
      <sheetData sheetId="3">
        <row r="5">
          <cell r="M5">
            <v>99.8</v>
          </cell>
        </row>
      </sheetData>
      <sheetData sheetId="4">
        <row r="5">
          <cell r="M5">
            <v>99.8</v>
          </cell>
        </row>
      </sheetData>
      <sheetData sheetId="5">
        <row r="5">
          <cell r="M5">
            <v>99.8</v>
          </cell>
        </row>
      </sheetData>
      <sheetData sheetId="6">
        <row r="5">
          <cell r="M5">
            <v>99.8</v>
          </cell>
          <cell r="O5">
            <v>0.4</v>
          </cell>
        </row>
      </sheetData>
      <sheetData sheetId="7"/>
      <sheetData sheetId="8"/>
      <sheetData sheetId="9">
        <row r="5">
          <cell r="M5">
            <v>99.8</v>
          </cell>
        </row>
      </sheetData>
      <sheetData sheetId="10">
        <row r="5">
          <cell r="M5">
            <v>99.8</v>
          </cell>
        </row>
      </sheetData>
      <sheetData sheetId="11"/>
      <sheetData sheetId="12">
        <row r="5">
          <cell r="M5">
            <v>99.8</v>
          </cell>
        </row>
      </sheetData>
      <sheetData sheetId="13"/>
      <sheetData sheetId="14">
        <row r="5">
          <cell r="M5">
            <v>99.8</v>
          </cell>
        </row>
      </sheetData>
      <sheetData sheetId="15">
        <row r="5">
          <cell r="M5">
            <v>99.8</v>
          </cell>
        </row>
      </sheetData>
      <sheetData sheetId="16">
        <row r="5">
          <cell r="M5">
            <v>99.8</v>
          </cell>
        </row>
      </sheetData>
      <sheetData sheetId="17"/>
      <sheetData sheetId="18"/>
      <sheetData sheetId="19">
        <row r="5">
          <cell r="M5">
            <v>99.8</v>
          </cell>
        </row>
      </sheetData>
      <sheetData sheetId="20">
        <row r="5">
          <cell r="M5">
            <v>99.8</v>
          </cell>
        </row>
      </sheetData>
      <sheetData sheetId="21">
        <row r="5">
          <cell r="M5">
            <v>99.8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/>
      <sheetData sheetId="4">
        <row r="5">
          <cell r="M5">
            <v>367.5</v>
          </cell>
        </row>
      </sheetData>
      <sheetData sheetId="5">
        <row r="5">
          <cell r="M5">
            <v>367.5</v>
          </cell>
        </row>
      </sheetData>
      <sheetData sheetId="6">
        <row r="5">
          <cell r="M5">
            <v>367.5</v>
          </cell>
          <cell r="N5">
            <v>25.9</v>
          </cell>
          <cell r="O5">
            <v>0.9</v>
          </cell>
        </row>
      </sheetData>
      <sheetData sheetId="7">
        <row r="5">
          <cell r="M5">
            <v>367.5</v>
          </cell>
        </row>
      </sheetData>
      <sheetData sheetId="8"/>
      <sheetData sheetId="9"/>
      <sheetData sheetId="10">
        <row r="5">
          <cell r="M5">
            <v>367.5</v>
          </cell>
        </row>
      </sheetData>
      <sheetData sheetId="11"/>
      <sheetData sheetId="12">
        <row r="5">
          <cell r="M5">
            <v>367.5</v>
          </cell>
        </row>
      </sheetData>
      <sheetData sheetId="13"/>
      <sheetData sheetId="14">
        <row r="5">
          <cell r="M5">
            <v>367.5</v>
          </cell>
        </row>
      </sheetData>
      <sheetData sheetId="15">
        <row r="5">
          <cell r="M5">
            <v>367.5</v>
          </cell>
        </row>
      </sheetData>
      <sheetData sheetId="16"/>
      <sheetData sheetId="17"/>
      <sheetData sheetId="18"/>
      <sheetData sheetId="19"/>
      <sheetData sheetId="20">
        <row r="5">
          <cell r="M5">
            <v>367.5</v>
          </cell>
        </row>
      </sheetData>
      <sheetData sheetId="21">
        <row r="5">
          <cell r="M5">
            <v>367.5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Колонок"/>
      <sheetName val="Косуля"/>
      <sheetName val="Лисица"/>
      <sheetName val="Лось"/>
      <sheetName val="Олень"/>
      <sheetName val="Росомаха"/>
      <sheetName val="Рысь"/>
      <sheetName val="Соболь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65">
          <cell r="F165">
            <v>0</v>
          </cell>
        </row>
      </sheetData>
      <sheetData sheetId="2"/>
      <sheetData sheetId="3"/>
      <sheetData sheetId="4">
        <row r="5">
          <cell r="M5">
            <v>71.489999999999995</v>
          </cell>
        </row>
      </sheetData>
      <sheetData sheetId="5">
        <row r="5">
          <cell r="M5">
            <v>71.489999999999995</v>
          </cell>
        </row>
      </sheetData>
      <sheetData sheetId="6">
        <row r="5">
          <cell r="M5">
            <v>71.489999999999995</v>
          </cell>
        </row>
      </sheetData>
      <sheetData sheetId="7">
        <row r="5">
          <cell r="M5">
            <v>71.489999999999995</v>
          </cell>
        </row>
      </sheetData>
      <sheetData sheetId="8">
        <row r="5">
          <cell r="M5">
            <v>71.489999999999995</v>
          </cell>
        </row>
      </sheetData>
      <sheetData sheetId="9">
        <row r="5">
          <cell r="M5">
            <v>71.489999999999995</v>
          </cell>
        </row>
      </sheetData>
      <sheetData sheetId="10">
        <row r="5">
          <cell r="M5">
            <v>71.489999999999995</v>
          </cell>
        </row>
      </sheetData>
      <sheetData sheetId="11"/>
      <sheetData sheetId="12"/>
      <sheetData sheetId="13">
        <row r="5">
          <cell r="M5">
            <v>71.489999999999995</v>
          </cell>
        </row>
      </sheetData>
      <sheetData sheetId="14">
        <row r="5">
          <cell r="M5">
            <v>71.489999999999995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60.62</v>
          </cell>
        </row>
      </sheetData>
      <sheetData sheetId="4"/>
      <sheetData sheetId="5">
        <row r="5">
          <cell r="M5">
            <v>60.62</v>
          </cell>
        </row>
      </sheetData>
      <sheetData sheetId="6">
        <row r="5">
          <cell r="M5">
            <v>60.62</v>
          </cell>
          <cell r="N5">
            <v>31.28</v>
          </cell>
        </row>
      </sheetData>
      <sheetData sheetId="7"/>
      <sheetData sheetId="8"/>
      <sheetData sheetId="9"/>
      <sheetData sheetId="10">
        <row r="5">
          <cell r="M5">
            <v>60.62</v>
          </cell>
        </row>
      </sheetData>
      <sheetData sheetId="11"/>
      <sheetData sheetId="12">
        <row r="5">
          <cell r="M5">
            <v>60.62</v>
          </cell>
        </row>
      </sheetData>
      <sheetData sheetId="13"/>
      <sheetData sheetId="14">
        <row r="5">
          <cell r="M5">
            <v>60.62</v>
          </cell>
        </row>
      </sheetData>
      <sheetData sheetId="15"/>
      <sheetData sheetId="16">
        <row r="5">
          <cell r="M5">
            <v>60.62</v>
          </cell>
        </row>
      </sheetData>
      <sheetData sheetId="17"/>
      <sheetData sheetId="18"/>
      <sheetData sheetId="19"/>
      <sheetData sheetId="20"/>
      <sheetData sheetId="21">
        <row r="5">
          <cell r="M5">
            <v>60.62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40.799999999999997</v>
          </cell>
        </row>
      </sheetData>
      <sheetData sheetId="4">
        <row r="5">
          <cell r="M5">
            <v>40.799999999999997</v>
          </cell>
        </row>
      </sheetData>
      <sheetData sheetId="5"/>
      <sheetData sheetId="6">
        <row r="5">
          <cell r="M5">
            <v>40.799999999999997</v>
          </cell>
          <cell r="O5">
            <v>0.5</v>
          </cell>
        </row>
      </sheetData>
      <sheetData sheetId="7"/>
      <sheetData sheetId="8"/>
      <sheetData sheetId="9"/>
      <sheetData sheetId="10"/>
      <sheetData sheetId="11"/>
      <sheetData sheetId="12">
        <row r="5">
          <cell r="M5">
            <v>40.799999999999997</v>
          </cell>
        </row>
      </sheetData>
      <sheetData sheetId="13"/>
      <sheetData sheetId="14">
        <row r="5">
          <cell r="M5">
            <v>40.799999999999997</v>
          </cell>
        </row>
      </sheetData>
      <sheetData sheetId="15">
        <row r="5">
          <cell r="M5">
            <v>40.799999999999997</v>
          </cell>
        </row>
      </sheetData>
      <sheetData sheetId="16">
        <row r="5">
          <cell r="M5">
            <v>40.799999999999997</v>
          </cell>
        </row>
      </sheetData>
      <sheetData sheetId="17"/>
      <sheetData sheetId="18"/>
      <sheetData sheetId="19"/>
      <sheetData sheetId="20">
        <row r="5">
          <cell r="M5">
            <v>40.799999999999997</v>
          </cell>
        </row>
      </sheetData>
      <sheetData sheetId="21">
        <row r="5">
          <cell r="M5">
            <v>40.799999999999997</v>
          </cell>
        </row>
      </sheetData>
      <sheetData sheetId="22">
        <row r="5">
          <cell r="M5">
            <v>40.799999999999997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188">
          <cell r="F188">
            <v>0</v>
          </cell>
        </row>
      </sheetData>
      <sheetData sheetId="2"/>
      <sheetData sheetId="3">
        <row r="5">
          <cell r="M5">
            <v>13.48</v>
          </cell>
        </row>
      </sheetData>
      <sheetData sheetId="4"/>
      <sheetData sheetId="5">
        <row r="5">
          <cell r="M5">
            <v>13.48</v>
          </cell>
        </row>
      </sheetData>
      <sheetData sheetId="6">
        <row r="5">
          <cell r="M5">
            <v>13.48</v>
          </cell>
        </row>
      </sheetData>
      <sheetData sheetId="7"/>
      <sheetData sheetId="8"/>
      <sheetData sheetId="9">
        <row r="5">
          <cell r="M5">
            <v>13.48</v>
          </cell>
        </row>
      </sheetData>
      <sheetData sheetId="10"/>
      <sheetData sheetId="11"/>
      <sheetData sheetId="12">
        <row r="5">
          <cell r="M5">
            <v>13.48</v>
          </cell>
        </row>
      </sheetData>
      <sheetData sheetId="13"/>
      <sheetData sheetId="14">
        <row r="5">
          <cell r="M5">
            <v>13.48</v>
          </cell>
        </row>
      </sheetData>
      <sheetData sheetId="15">
        <row r="5">
          <cell r="M5">
            <v>13.48</v>
          </cell>
        </row>
      </sheetData>
      <sheetData sheetId="16">
        <row r="5">
          <cell r="M5">
            <v>13.48</v>
          </cell>
        </row>
      </sheetData>
      <sheetData sheetId="17"/>
      <sheetData sheetId="18"/>
      <sheetData sheetId="19"/>
      <sheetData sheetId="20"/>
      <sheetData sheetId="21">
        <row r="5">
          <cell r="M5">
            <v>13.48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35.26</v>
          </cell>
        </row>
      </sheetData>
      <sheetData sheetId="4">
        <row r="5">
          <cell r="M5">
            <v>35.26</v>
          </cell>
        </row>
      </sheetData>
      <sheetData sheetId="5"/>
      <sheetData sheetId="6">
        <row r="5">
          <cell r="M5">
            <v>35.26</v>
          </cell>
        </row>
      </sheetData>
      <sheetData sheetId="7"/>
      <sheetData sheetId="8"/>
      <sheetData sheetId="9">
        <row r="5">
          <cell r="M5">
            <v>35.26</v>
          </cell>
        </row>
      </sheetData>
      <sheetData sheetId="10">
        <row r="5">
          <cell r="M5">
            <v>35.26</v>
          </cell>
        </row>
      </sheetData>
      <sheetData sheetId="11"/>
      <sheetData sheetId="12">
        <row r="5">
          <cell r="M5">
            <v>35.26</v>
          </cell>
        </row>
      </sheetData>
      <sheetData sheetId="13"/>
      <sheetData sheetId="14">
        <row r="5">
          <cell r="M5">
            <v>35.26</v>
          </cell>
        </row>
      </sheetData>
      <sheetData sheetId="15">
        <row r="5">
          <cell r="M5">
            <v>35.26</v>
          </cell>
        </row>
      </sheetData>
      <sheetData sheetId="16">
        <row r="5">
          <cell r="M5">
            <v>35.26</v>
          </cell>
        </row>
      </sheetData>
      <sheetData sheetId="17"/>
      <sheetData sheetId="18"/>
      <sheetData sheetId="19"/>
      <sheetData sheetId="20"/>
      <sheetData sheetId="21">
        <row r="5">
          <cell r="M5">
            <v>35.26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03">
          <cell r="F203">
            <v>0.51</v>
          </cell>
        </row>
      </sheetData>
      <sheetData sheetId="2"/>
      <sheetData sheetId="3"/>
      <sheetData sheetId="4">
        <row r="5">
          <cell r="M5">
            <v>98.8</v>
          </cell>
        </row>
      </sheetData>
      <sheetData sheetId="5"/>
      <sheetData sheetId="6">
        <row r="5">
          <cell r="M5">
            <v>98.8</v>
          </cell>
          <cell r="O5">
            <v>1.2</v>
          </cell>
        </row>
      </sheetData>
      <sheetData sheetId="7"/>
      <sheetData sheetId="8"/>
      <sheetData sheetId="9">
        <row r="5">
          <cell r="M5">
            <v>98.8</v>
          </cell>
        </row>
      </sheetData>
      <sheetData sheetId="10"/>
      <sheetData sheetId="11"/>
      <sheetData sheetId="12">
        <row r="5">
          <cell r="M5">
            <v>98.8</v>
          </cell>
        </row>
      </sheetData>
      <sheetData sheetId="13"/>
      <sheetData sheetId="14">
        <row r="5">
          <cell r="M5">
            <v>98.8</v>
          </cell>
        </row>
      </sheetData>
      <sheetData sheetId="15">
        <row r="5">
          <cell r="M5">
            <v>98.8</v>
          </cell>
        </row>
      </sheetData>
      <sheetData sheetId="16">
        <row r="5">
          <cell r="M5">
            <v>98.8</v>
          </cell>
        </row>
      </sheetData>
      <sheetData sheetId="17"/>
      <sheetData sheetId="18"/>
      <sheetData sheetId="19"/>
      <sheetData sheetId="20">
        <row r="5">
          <cell r="M5">
            <v>98.8</v>
          </cell>
        </row>
      </sheetData>
      <sheetData sheetId="21">
        <row r="5">
          <cell r="M5">
            <v>98.8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05">
          <cell r="F205">
            <v>0.67</v>
          </cell>
        </row>
      </sheetData>
      <sheetData sheetId="2"/>
      <sheetData sheetId="3"/>
      <sheetData sheetId="4">
        <row r="5">
          <cell r="M5">
            <v>180.6</v>
          </cell>
        </row>
      </sheetData>
      <sheetData sheetId="5">
        <row r="5">
          <cell r="M5">
            <v>180.6</v>
          </cell>
        </row>
      </sheetData>
      <sheetData sheetId="6">
        <row r="5">
          <cell r="M5">
            <v>180.6</v>
          </cell>
          <cell r="O5">
            <v>3</v>
          </cell>
        </row>
      </sheetData>
      <sheetData sheetId="7"/>
      <sheetData sheetId="8"/>
      <sheetData sheetId="9">
        <row r="5">
          <cell r="M5">
            <v>180.6</v>
          </cell>
        </row>
      </sheetData>
      <sheetData sheetId="10">
        <row r="5">
          <cell r="M5">
            <v>180.6</v>
          </cell>
        </row>
      </sheetData>
      <sheetData sheetId="11"/>
      <sheetData sheetId="12">
        <row r="5">
          <cell r="M5">
            <v>180.6</v>
          </cell>
        </row>
      </sheetData>
      <sheetData sheetId="13"/>
      <sheetData sheetId="14">
        <row r="5">
          <cell r="M5">
            <v>180.6</v>
          </cell>
        </row>
      </sheetData>
      <sheetData sheetId="15">
        <row r="5">
          <cell r="M5">
            <v>180.6</v>
          </cell>
        </row>
      </sheetData>
      <sheetData sheetId="16">
        <row r="5">
          <cell r="M5">
            <v>180.6</v>
          </cell>
        </row>
      </sheetData>
      <sheetData sheetId="17"/>
      <sheetData sheetId="18"/>
      <sheetData sheetId="19"/>
      <sheetData sheetId="20"/>
      <sheetData sheetId="21">
        <row r="5">
          <cell r="M5">
            <v>180.6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  <sheetName val="Лист1"/>
      <sheetName val="Лист2"/>
    </sheetNames>
    <sheetDataSet>
      <sheetData sheetId="0"/>
      <sheetData sheetId="1">
        <row r="50">
          <cell r="F50">
            <v>0</v>
          </cell>
        </row>
      </sheetData>
      <sheetData sheetId="2"/>
      <sheetData sheetId="3">
        <row r="5">
          <cell r="M5">
            <v>14.25</v>
          </cell>
        </row>
      </sheetData>
      <sheetData sheetId="4"/>
      <sheetData sheetId="5"/>
      <sheetData sheetId="6">
        <row r="5">
          <cell r="M5">
            <v>14.25</v>
          </cell>
          <cell r="N5">
            <v>0.38</v>
          </cell>
          <cell r="O5">
            <v>4.37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14.25</v>
          </cell>
        </row>
      </sheetData>
      <sheetData sheetId="15">
        <row r="5">
          <cell r="M5">
            <v>14.25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14.25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08">
          <cell r="F208">
            <v>0.49</v>
          </cell>
        </row>
      </sheetData>
      <sheetData sheetId="2"/>
      <sheetData sheetId="3">
        <row r="5">
          <cell r="M5">
            <v>484.4</v>
          </cell>
        </row>
      </sheetData>
      <sheetData sheetId="4">
        <row r="5">
          <cell r="M5">
            <v>484.4</v>
          </cell>
        </row>
      </sheetData>
      <sheetData sheetId="5">
        <row r="5">
          <cell r="M5">
            <v>484.4</v>
          </cell>
        </row>
      </sheetData>
      <sheetData sheetId="6">
        <row r="5">
          <cell r="M5">
            <v>484.4</v>
          </cell>
          <cell r="N5">
            <v>19</v>
          </cell>
          <cell r="O5">
            <v>29</v>
          </cell>
        </row>
      </sheetData>
      <sheetData sheetId="7"/>
      <sheetData sheetId="8"/>
      <sheetData sheetId="9">
        <row r="5">
          <cell r="M5">
            <v>10</v>
          </cell>
        </row>
      </sheetData>
      <sheetData sheetId="10"/>
      <sheetData sheetId="11"/>
      <sheetData sheetId="12"/>
      <sheetData sheetId="13"/>
      <sheetData sheetId="14">
        <row r="5">
          <cell r="M5">
            <v>484.4</v>
          </cell>
        </row>
      </sheetData>
      <sheetData sheetId="15">
        <row r="5">
          <cell r="M5">
            <v>484.4</v>
          </cell>
        </row>
      </sheetData>
      <sheetData sheetId="16"/>
      <sheetData sheetId="17"/>
      <sheetData sheetId="18">
        <row r="5">
          <cell r="M5">
            <v>484.4</v>
          </cell>
        </row>
      </sheetData>
      <sheetData sheetId="19">
        <row r="5">
          <cell r="M5">
            <v>484.4</v>
          </cell>
        </row>
      </sheetData>
      <sheetData sheetId="20"/>
      <sheetData sheetId="21">
        <row r="5">
          <cell r="M5">
            <v>484.4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09">
          <cell r="F209">
            <v>0.57999999999999996</v>
          </cell>
        </row>
      </sheetData>
      <sheetData sheetId="2"/>
      <sheetData sheetId="3">
        <row r="5">
          <cell r="M5">
            <v>4030.7</v>
          </cell>
        </row>
      </sheetData>
      <sheetData sheetId="4"/>
      <sheetData sheetId="5"/>
      <sheetData sheetId="6">
        <row r="5">
          <cell r="M5">
            <v>4030.7</v>
          </cell>
        </row>
      </sheetData>
      <sheetData sheetId="7"/>
      <sheetData sheetId="8"/>
      <sheetData sheetId="9">
        <row r="5">
          <cell r="M5">
            <v>4030.7</v>
          </cell>
        </row>
      </sheetData>
      <sheetData sheetId="10"/>
      <sheetData sheetId="11"/>
      <sheetData sheetId="12"/>
      <sheetData sheetId="13"/>
      <sheetData sheetId="14">
        <row r="5">
          <cell r="M5">
            <v>4030.7</v>
          </cell>
        </row>
      </sheetData>
      <sheetData sheetId="15">
        <row r="5">
          <cell r="M5">
            <v>4030.7</v>
          </cell>
        </row>
      </sheetData>
      <sheetData sheetId="16"/>
      <sheetData sheetId="17"/>
      <sheetData sheetId="18">
        <row r="5">
          <cell r="M5">
            <v>4030.7</v>
          </cell>
        </row>
      </sheetData>
      <sheetData sheetId="19"/>
      <sheetData sheetId="20"/>
      <sheetData sheetId="21">
        <row r="5">
          <cell r="M5">
            <v>4030.7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13">
          <cell r="F213">
            <v>0.53</v>
          </cell>
        </row>
      </sheetData>
      <sheetData sheetId="2"/>
      <sheetData sheetId="3">
        <row r="5">
          <cell r="M5">
            <v>28.04</v>
          </cell>
        </row>
      </sheetData>
      <sheetData sheetId="4"/>
      <sheetData sheetId="5"/>
      <sheetData sheetId="6">
        <row r="5">
          <cell r="M5">
            <v>28.04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M5">
            <v>28.04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28.04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19">
          <cell r="F219" t="str">
            <v xml:space="preserve">     -      </v>
          </cell>
        </row>
      </sheetData>
      <sheetData sheetId="2"/>
      <sheetData sheetId="3">
        <row r="5">
          <cell r="M5">
            <v>529.5</v>
          </cell>
        </row>
      </sheetData>
      <sheetData sheetId="4">
        <row r="5">
          <cell r="M5">
            <v>529.5</v>
          </cell>
        </row>
      </sheetData>
      <sheetData sheetId="5"/>
      <sheetData sheetId="6">
        <row r="5">
          <cell r="M5">
            <v>529.5</v>
          </cell>
          <cell r="N5">
            <v>85.7</v>
          </cell>
          <cell r="O5">
            <v>10.1</v>
          </cell>
        </row>
      </sheetData>
      <sheetData sheetId="7"/>
      <sheetData sheetId="8"/>
      <sheetData sheetId="9"/>
      <sheetData sheetId="10">
        <row r="5">
          <cell r="M5">
            <v>529.5</v>
          </cell>
        </row>
      </sheetData>
      <sheetData sheetId="11"/>
      <sheetData sheetId="12">
        <row r="5">
          <cell r="M5">
            <v>529.5</v>
          </cell>
        </row>
      </sheetData>
      <sheetData sheetId="13"/>
      <sheetData sheetId="14">
        <row r="5">
          <cell r="M5">
            <v>529.5</v>
          </cell>
        </row>
      </sheetData>
      <sheetData sheetId="15">
        <row r="5">
          <cell r="M5">
            <v>529.5</v>
          </cell>
        </row>
      </sheetData>
      <sheetData sheetId="16"/>
      <sheetData sheetId="17"/>
      <sheetData sheetId="18"/>
      <sheetData sheetId="19"/>
      <sheetData sheetId="20">
        <row r="5">
          <cell r="M5">
            <v>529.5</v>
          </cell>
        </row>
      </sheetData>
      <sheetData sheetId="21">
        <row r="5">
          <cell r="M5">
            <v>529.5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20">
          <cell r="F220">
            <v>0.65</v>
          </cell>
        </row>
      </sheetData>
      <sheetData sheetId="2"/>
      <sheetData sheetId="3">
        <row r="5">
          <cell r="M5">
            <v>167.32</v>
          </cell>
        </row>
      </sheetData>
      <sheetData sheetId="4">
        <row r="5">
          <cell r="M5">
            <v>167.32</v>
          </cell>
        </row>
      </sheetData>
      <sheetData sheetId="5">
        <row r="5">
          <cell r="M5">
            <v>167.32</v>
          </cell>
        </row>
      </sheetData>
      <sheetData sheetId="6">
        <row r="5">
          <cell r="M5">
            <v>167.32</v>
          </cell>
          <cell r="N5">
            <v>49.44</v>
          </cell>
          <cell r="O5">
            <v>0.95</v>
          </cell>
        </row>
      </sheetData>
      <sheetData sheetId="7"/>
      <sheetData sheetId="8"/>
      <sheetData sheetId="9"/>
      <sheetData sheetId="10">
        <row r="5">
          <cell r="M5">
            <v>167.32</v>
          </cell>
        </row>
      </sheetData>
      <sheetData sheetId="11"/>
      <sheetData sheetId="12">
        <row r="5">
          <cell r="M5">
            <v>167.32</v>
          </cell>
        </row>
      </sheetData>
      <sheetData sheetId="13"/>
      <sheetData sheetId="14">
        <row r="5">
          <cell r="M5">
            <v>167.32</v>
          </cell>
        </row>
      </sheetData>
      <sheetData sheetId="15">
        <row r="5">
          <cell r="M5">
            <v>167.32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167.32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28">
          <cell r="F228" t="str">
            <v xml:space="preserve">     -      </v>
          </cell>
        </row>
      </sheetData>
      <sheetData sheetId="2"/>
      <sheetData sheetId="3"/>
      <sheetData sheetId="4">
        <row r="5">
          <cell r="M5">
            <v>630.29</v>
          </cell>
        </row>
      </sheetData>
      <sheetData sheetId="5">
        <row r="5">
          <cell r="M5">
            <v>630.29</v>
          </cell>
        </row>
      </sheetData>
      <sheetData sheetId="6">
        <row r="5">
          <cell r="M5">
            <v>630.29</v>
          </cell>
          <cell r="N5">
            <v>97</v>
          </cell>
        </row>
      </sheetData>
      <sheetData sheetId="7"/>
      <sheetData sheetId="8"/>
      <sheetData sheetId="9"/>
      <sheetData sheetId="10">
        <row r="5">
          <cell r="M5">
            <v>630.29</v>
          </cell>
        </row>
      </sheetData>
      <sheetData sheetId="11"/>
      <sheetData sheetId="12"/>
      <sheetData sheetId="13"/>
      <sheetData sheetId="14">
        <row r="5">
          <cell r="M5">
            <v>630.29</v>
          </cell>
        </row>
      </sheetData>
      <sheetData sheetId="15">
        <row r="5">
          <cell r="M5">
            <v>630.29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630.29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33">
          <cell r="F233">
            <v>0.63</v>
          </cell>
        </row>
      </sheetData>
      <sheetData sheetId="2"/>
      <sheetData sheetId="3"/>
      <sheetData sheetId="4">
        <row r="5">
          <cell r="M5">
            <v>114</v>
          </cell>
        </row>
      </sheetData>
      <sheetData sheetId="5"/>
      <sheetData sheetId="6">
        <row r="5">
          <cell r="M5">
            <v>114</v>
          </cell>
          <cell r="N5">
            <v>2</v>
          </cell>
          <cell r="O5">
            <v>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114</v>
          </cell>
        </row>
      </sheetData>
      <sheetData sheetId="15">
        <row r="5">
          <cell r="M5">
            <v>114</v>
          </cell>
        </row>
      </sheetData>
      <sheetData sheetId="16"/>
      <sheetData sheetId="17"/>
      <sheetData sheetId="18"/>
      <sheetData sheetId="19"/>
      <sheetData sheetId="20"/>
      <sheetData sheetId="21">
        <row r="5">
          <cell r="M5">
            <v>114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Кабарга"/>
      <sheetName val="Заяц_русак"/>
      <sheetName val="Кабан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249">
          <cell r="F249" t="str">
            <v xml:space="preserve">     -      </v>
          </cell>
        </row>
      </sheetData>
      <sheetData sheetId="2"/>
      <sheetData sheetId="3">
        <row r="5">
          <cell r="M5">
            <v>92.4</v>
          </cell>
        </row>
      </sheetData>
      <sheetData sheetId="4">
        <row r="5">
          <cell r="M5">
            <v>92.4</v>
          </cell>
        </row>
      </sheetData>
      <sheetData sheetId="5"/>
      <sheetData sheetId="6">
        <row r="5">
          <cell r="M5">
            <v>92.4</v>
          </cell>
          <cell r="N5">
            <v>84</v>
          </cell>
        </row>
      </sheetData>
      <sheetData sheetId="7">
        <row r="5">
          <cell r="M5">
            <v>92.4</v>
          </cell>
        </row>
      </sheetData>
      <sheetData sheetId="8">
        <row r="5">
          <cell r="M5">
            <v>92.4</v>
          </cell>
        </row>
      </sheetData>
      <sheetData sheetId="9">
        <row r="5">
          <cell r="M5">
            <v>92.4</v>
          </cell>
        </row>
      </sheetData>
      <sheetData sheetId="10">
        <row r="5">
          <cell r="M5">
            <v>92.4</v>
          </cell>
        </row>
      </sheetData>
      <sheetData sheetId="11"/>
      <sheetData sheetId="12">
        <row r="5">
          <cell r="M5">
            <v>92.4</v>
          </cell>
        </row>
      </sheetData>
      <sheetData sheetId="13"/>
      <sheetData sheetId="14">
        <row r="5">
          <cell r="M5">
            <v>92.4</v>
          </cell>
        </row>
      </sheetData>
      <sheetData sheetId="15">
        <row r="5">
          <cell r="M5">
            <v>92.4</v>
          </cell>
        </row>
      </sheetData>
      <sheetData sheetId="16">
        <row r="5">
          <cell r="M5">
            <v>92.4</v>
          </cell>
        </row>
      </sheetData>
      <sheetData sheetId="17"/>
      <sheetData sheetId="18"/>
      <sheetData sheetId="19"/>
      <sheetData sheetId="20"/>
      <sheetData sheetId="21">
        <row r="5">
          <cell r="M5">
            <v>92.4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M5">
            <v>70.900000000000006</v>
          </cell>
          <cell r="O5">
            <v>2.6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57.1</v>
          </cell>
        </row>
      </sheetData>
      <sheetData sheetId="4">
        <row r="5">
          <cell r="M5">
            <v>57.1</v>
          </cell>
        </row>
      </sheetData>
      <sheetData sheetId="5">
        <row r="5">
          <cell r="M5">
            <v>57.1</v>
          </cell>
        </row>
      </sheetData>
      <sheetData sheetId="6">
        <row r="5">
          <cell r="M5">
            <v>57.1</v>
          </cell>
        </row>
      </sheetData>
      <sheetData sheetId="7"/>
      <sheetData sheetId="8"/>
      <sheetData sheetId="9">
        <row r="5">
          <cell r="M5">
            <v>57.1</v>
          </cell>
        </row>
      </sheetData>
      <sheetData sheetId="10"/>
      <sheetData sheetId="11"/>
      <sheetData sheetId="12"/>
      <sheetData sheetId="13"/>
      <sheetData sheetId="14">
        <row r="5">
          <cell r="M5">
            <v>57.1</v>
          </cell>
        </row>
      </sheetData>
      <sheetData sheetId="15">
        <row r="5">
          <cell r="M5">
            <v>57.1</v>
          </cell>
        </row>
      </sheetData>
      <sheetData sheetId="16"/>
      <sheetData sheetId="17"/>
      <sheetData sheetId="18">
        <row r="5">
          <cell r="M5">
            <v>57.1</v>
          </cell>
        </row>
      </sheetData>
      <sheetData sheetId="19">
        <row r="5">
          <cell r="M5">
            <v>57.1</v>
          </cell>
        </row>
      </sheetData>
      <sheetData sheetId="20">
        <row r="5">
          <cell r="M5">
            <v>57.1</v>
          </cell>
        </row>
      </sheetData>
      <sheetData sheetId="21">
        <row r="5">
          <cell r="M5">
            <v>57.1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57">
          <cell r="F57">
            <v>0</v>
          </cell>
        </row>
      </sheetData>
      <sheetData sheetId="2"/>
      <sheetData sheetId="3">
        <row r="5">
          <cell r="M5">
            <v>1740.63</v>
          </cell>
        </row>
      </sheetData>
      <sheetData sheetId="4">
        <row r="5">
          <cell r="M5">
            <v>1740.63</v>
          </cell>
        </row>
      </sheetData>
      <sheetData sheetId="5">
        <row r="5">
          <cell r="M5">
            <v>1740.63</v>
          </cell>
        </row>
      </sheetData>
      <sheetData sheetId="6">
        <row r="5">
          <cell r="M5">
            <v>1740.63</v>
          </cell>
        </row>
      </sheetData>
      <sheetData sheetId="7"/>
      <sheetData sheetId="8"/>
      <sheetData sheetId="9">
        <row r="5">
          <cell r="M5">
            <v>1740.63</v>
          </cell>
        </row>
      </sheetData>
      <sheetData sheetId="10">
        <row r="5">
          <cell r="M5">
            <v>1740.63</v>
          </cell>
        </row>
      </sheetData>
      <sheetData sheetId="11"/>
      <sheetData sheetId="12"/>
      <sheetData sheetId="13"/>
      <sheetData sheetId="14">
        <row r="5">
          <cell r="M5">
            <v>1740.63</v>
          </cell>
        </row>
      </sheetData>
      <sheetData sheetId="15">
        <row r="5">
          <cell r="M5">
            <v>1740.63</v>
          </cell>
        </row>
      </sheetData>
      <sheetData sheetId="16"/>
      <sheetData sheetId="17"/>
      <sheetData sheetId="18">
        <row r="5">
          <cell r="M5">
            <v>1740.63</v>
          </cell>
        </row>
      </sheetData>
      <sheetData sheetId="19">
        <row r="5">
          <cell r="M5">
            <v>1740.63</v>
          </cell>
        </row>
      </sheetData>
      <sheetData sheetId="20">
        <row r="5">
          <cell r="M5">
            <v>1740.63</v>
          </cell>
        </row>
      </sheetData>
      <sheetData sheetId="21">
        <row r="5">
          <cell r="M5">
            <v>1740.63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 refreshError="1"/>
      <sheetData sheetId="1">
        <row r="71">
          <cell r="F71">
            <v>0.68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108.95</v>
          </cell>
          <cell r="N5">
            <v>55.45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/>
      <sheetData sheetId="2"/>
      <sheetData sheetId="3">
        <row r="5">
          <cell r="M5">
            <v>35.4</v>
          </cell>
        </row>
      </sheetData>
      <sheetData sheetId="4"/>
      <sheetData sheetId="5"/>
      <sheetData sheetId="6">
        <row r="5">
          <cell r="M5">
            <v>35.4</v>
          </cell>
          <cell r="N5">
            <v>4.5999999999999996</v>
          </cell>
        </row>
      </sheetData>
      <sheetData sheetId="7"/>
      <sheetData sheetId="8"/>
      <sheetData sheetId="9"/>
      <sheetData sheetId="10">
        <row r="5">
          <cell r="M5">
            <v>35.4</v>
          </cell>
        </row>
      </sheetData>
      <sheetData sheetId="11"/>
      <sheetData sheetId="12"/>
      <sheetData sheetId="13"/>
      <sheetData sheetId="14">
        <row r="5">
          <cell r="M5">
            <v>35.4</v>
          </cell>
        </row>
      </sheetData>
      <sheetData sheetId="15">
        <row r="5">
          <cell r="M5">
            <v>35.4</v>
          </cell>
        </row>
      </sheetData>
      <sheetData sheetId="16"/>
      <sheetData sheetId="17"/>
      <sheetData sheetId="18"/>
      <sheetData sheetId="19">
        <row r="5">
          <cell r="M5">
            <v>35.4</v>
          </cell>
        </row>
      </sheetData>
      <sheetData sheetId="20">
        <row r="5">
          <cell r="M5">
            <v>35.4</v>
          </cell>
        </row>
      </sheetData>
      <sheetData sheetId="21">
        <row r="5">
          <cell r="M5">
            <v>35.4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есчетный_Коэффициент"/>
      <sheetName val="Ведомость учетных маршрутов"/>
      <sheetName val="Белка"/>
      <sheetName val="Волк"/>
      <sheetName val="Горностай"/>
      <sheetName val="Заяц_беляк"/>
      <sheetName val="Заяц_русак"/>
      <sheetName val="Кабан"/>
      <sheetName val="Кабарга"/>
      <sheetName val="Колонок"/>
      <sheetName val="Корсак"/>
      <sheetName val="Косуля"/>
      <sheetName val="Куница"/>
      <sheetName val="Лисица"/>
      <sheetName val="Лось"/>
      <sheetName val="Олень"/>
      <sheetName val="Олень_пят"/>
      <sheetName val="Олень_сев"/>
      <sheetName val="Росомаха"/>
      <sheetName val="Рысь"/>
      <sheetName val="Соболь"/>
      <sheetName val="Хори"/>
      <sheetName val="Итоговый Отчет по ЗВЕРЯМ"/>
      <sheetName val="На печать ЗВЕРИ"/>
      <sheetName val="Рябчик"/>
      <sheetName val="Тетерев"/>
      <sheetName val="Глухарь"/>
      <sheetName val="Бел_Куропатка"/>
      <sheetName val="Сер_Куропатка"/>
      <sheetName val="Фазан"/>
      <sheetName val="Итоговый отчет по ПТИЦАМ"/>
      <sheetName val="На печать ПТИЦЫ"/>
    </sheetNames>
    <sheetDataSet>
      <sheetData sheetId="0"/>
      <sheetData sheetId="1">
        <row r="77">
          <cell r="F77" t="str">
            <v xml:space="preserve">     -      </v>
          </cell>
        </row>
      </sheetData>
      <sheetData sheetId="2"/>
      <sheetData sheetId="3">
        <row r="5">
          <cell r="M5">
            <v>170</v>
          </cell>
        </row>
      </sheetData>
      <sheetData sheetId="4"/>
      <sheetData sheetId="5">
        <row r="5">
          <cell r="M5">
            <v>170</v>
          </cell>
        </row>
      </sheetData>
      <sheetData sheetId="6">
        <row r="5">
          <cell r="M5">
            <v>170</v>
          </cell>
          <cell r="O5">
            <v>0.1</v>
          </cell>
        </row>
      </sheetData>
      <sheetData sheetId="7"/>
      <sheetData sheetId="8"/>
      <sheetData sheetId="9"/>
      <sheetData sheetId="10">
        <row r="5">
          <cell r="M5">
            <v>170</v>
          </cell>
        </row>
      </sheetData>
      <sheetData sheetId="11"/>
      <sheetData sheetId="12">
        <row r="5">
          <cell r="M5">
            <v>170</v>
          </cell>
        </row>
      </sheetData>
      <sheetData sheetId="13"/>
      <sheetData sheetId="14">
        <row r="5">
          <cell r="M5">
            <v>170</v>
          </cell>
        </row>
      </sheetData>
      <sheetData sheetId="15">
        <row r="5">
          <cell r="M5">
            <v>170</v>
          </cell>
        </row>
      </sheetData>
      <sheetData sheetId="16"/>
      <sheetData sheetId="17"/>
      <sheetData sheetId="18"/>
      <sheetData sheetId="19">
        <row r="5">
          <cell r="M5">
            <v>170</v>
          </cell>
        </row>
      </sheetData>
      <sheetData sheetId="20">
        <row r="5">
          <cell r="M5">
            <v>170</v>
          </cell>
        </row>
      </sheetData>
      <sheetData sheetId="21">
        <row r="5">
          <cell r="M5">
            <v>170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V295"/>
  <sheetViews>
    <sheetView tabSelected="1" view="pageBreakPreview" zoomScaleNormal="100" zoomScaleSheetLayoutView="100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AW165" sqref="AW165"/>
    </sheetView>
  </sheetViews>
  <sheetFormatPr defaultRowHeight="18.75" outlineLevelCol="1" x14ac:dyDescent="0.3"/>
  <cols>
    <col min="1" max="1" width="8.7109375" style="108" customWidth="1"/>
    <col min="2" max="2" width="24" style="108" customWidth="1"/>
    <col min="3" max="3" width="56" style="109" customWidth="1"/>
    <col min="4" max="4" width="14.85546875" style="109" hidden="1" customWidth="1"/>
    <col min="5" max="5" width="8.85546875" style="110" hidden="1" customWidth="1"/>
    <col min="6" max="6" width="6.5703125" style="111" hidden="1" customWidth="1"/>
    <col min="7" max="7" width="12.5703125" style="110" hidden="1" customWidth="1"/>
    <col min="8" max="8" width="3.85546875" style="112" hidden="1" customWidth="1" outlineLevel="1"/>
    <col min="9" max="10" width="4.140625" style="112" hidden="1" customWidth="1" outlineLevel="1"/>
    <col min="11" max="12" width="4.42578125" style="112" hidden="1" customWidth="1" outlineLevel="1"/>
    <col min="13" max="13" width="4.140625" style="112" hidden="1" customWidth="1" outlineLevel="1"/>
    <col min="14" max="19" width="4.42578125" style="112" hidden="1" customWidth="1" outlineLevel="1"/>
    <col min="20" max="20" width="27.140625" style="113" hidden="1" customWidth="1" outlineLevel="1"/>
    <col min="21" max="21" width="9.28515625" style="114" customWidth="1" collapsed="1"/>
    <col min="22" max="22" width="9.28515625" style="114" customWidth="1"/>
    <col min="23" max="23" width="7.5703125" style="114" customWidth="1"/>
    <col min="24" max="24" width="7.7109375" style="114" customWidth="1"/>
    <col min="25" max="25" width="18.7109375" style="115" customWidth="1"/>
    <col min="26" max="26" width="11.7109375" style="116" customWidth="1"/>
    <col min="27" max="27" width="9" style="116" customWidth="1"/>
    <col min="28" max="28" width="11.28515625" style="116" customWidth="1"/>
    <col min="29" max="29" width="12.28515625" style="116" customWidth="1"/>
    <col min="30" max="33" width="10.140625" style="117" customWidth="1"/>
    <col min="34" max="34" width="9.140625" style="117" customWidth="1"/>
    <col min="35" max="36" width="11.28515625" style="117" customWidth="1"/>
    <col min="37" max="48" width="10.140625" style="118" hidden="1" customWidth="1"/>
    <col min="49" max="16384" width="9.140625" style="3"/>
  </cols>
  <sheetData>
    <row r="1" spans="1:48" ht="68.25" customHeight="1" x14ac:dyDescent="0.3">
      <c r="A1" s="124" t="s">
        <v>0</v>
      </c>
      <c r="B1" s="124" t="s">
        <v>1</v>
      </c>
      <c r="C1" s="124" t="s">
        <v>2</v>
      </c>
      <c r="D1" s="125" t="s">
        <v>3</v>
      </c>
      <c r="E1" s="126" t="s">
        <v>4</v>
      </c>
      <c r="F1" s="127"/>
      <c r="G1" s="128" t="s">
        <v>5</v>
      </c>
      <c r="H1" s="129" t="s">
        <v>6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  <c r="U1" s="121" t="s">
        <v>514</v>
      </c>
      <c r="V1" s="122"/>
      <c r="W1" s="122"/>
      <c r="X1" s="122"/>
      <c r="Y1" s="123"/>
      <c r="Z1" s="119" t="s">
        <v>7</v>
      </c>
      <c r="AA1" s="119"/>
      <c r="AB1" s="119"/>
      <c r="AC1" s="119"/>
      <c r="AD1" s="1" t="s">
        <v>8</v>
      </c>
      <c r="AE1" s="1"/>
      <c r="AF1" s="1"/>
      <c r="AG1" s="1"/>
      <c r="AH1" s="1" t="s">
        <v>9</v>
      </c>
      <c r="AI1" s="1"/>
      <c r="AJ1" s="1"/>
      <c r="AK1" s="2" t="s">
        <v>10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2.75" customHeight="1" x14ac:dyDescent="0.3">
      <c r="A2" s="124"/>
      <c r="B2" s="124"/>
      <c r="C2" s="124"/>
      <c r="D2" s="132"/>
      <c r="E2" s="133"/>
      <c r="F2" s="134"/>
      <c r="G2" s="135"/>
      <c r="H2" s="136" t="s">
        <v>11</v>
      </c>
      <c r="I2" s="136" t="s">
        <v>12</v>
      </c>
      <c r="J2" s="136" t="s">
        <v>13</v>
      </c>
      <c r="K2" s="136" t="s">
        <v>14</v>
      </c>
      <c r="L2" s="136" t="s">
        <v>15</v>
      </c>
      <c r="M2" s="136" t="s">
        <v>16</v>
      </c>
      <c r="N2" s="136" t="s">
        <v>17</v>
      </c>
      <c r="O2" s="136" t="s">
        <v>18</v>
      </c>
      <c r="P2" s="136" t="s">
        <v>19</v>
      </c>
      <c r="Q2" s="136" t="s">
        <v>20</v>
      </c>
      <c r="R2" s="136" t="s">
        <v>21</v>
      </c>
      <c r="S2" s="136" t="s">
        <v>22</v>
      </c>
      <c r="T2" s="124" t="s">
        <v>23</v>
      </c>
      <c r="U2" s="137" t="s">
        <v>24</v>
      </c>
      <c r="V2" s="137" t="s">
        <v>25</v>
      </c>
      <c r="W2" s="137" t="s">
        <v>26</v>
      </c>
      <c r="X2" s="137" t="s">
        <v>27</v>
      </c>
      <c r="Y2" s="138" t="s">
        <v>28</v>
      </c>
      <c r="Z2" s="120" t="s">
        <v>29</v>
      </c>
      <c r="AA2" s="120" t="s">
        <v>30</v>
      </c>
      <c r="AB2" s="120" t="s">
        <v>31</v>
      </c>
      <c r="AC2" s="120" t="s">
        <v>24</v>
      </c>
      <c r="AD2" s="4" t="s">
        <v>32</v>
      </c>
      <c r="AE2" s="4" t="s">
        <v>33</v>
      </c>
      <c r="AF2" s="4" t="s">
        <v>34</v>
      </c>
      <c r="AG2" s="4" t="s">
        <v>35</v>
      </c>
      <c r="AH2" s="1" t="s">
        <v>36</v>
      </c>
      <c r="AI2" s="1" t="s">
        <v>37</v>
      </c>
      <c r="AJ2" s="1" t="s">
        <v>38</v>
      </c>
      <c r="AK2" s="5" t="s">
        <v>11</v>
      </c>
      <c r="AL2" s="5" t="s">
        <v>12</v>
      </c>
      <c r="AM2" s="5" t="s">
        <v>13</v>
      </c>
      <c r="AN2" s="5" t="s">
        <v>14</v>
      </c>
      <c r="AO2" s="5" t="s">
        <v>15</v>
      </c>
      <c r="AP2" s="5" t="s">
        <v>16</v>
      </c>
      <c r="AQ2" s="5" t="s">
        <v>17</v>
      </c>
      <c r="AR2" s="5" t="s">
        <v>18</v>
      </c>
      <c r="AS2" s="5" t="s">
        <v>19</v>
      </c>
      <c r="AT2" s="5" t="s">
        <v>20</v>
      </c>
      <c r="AU2" s="5" t="s">
        <v>21</v>
      </c>
      <c r="AV2" s="5" t="s">
        <v>22</v>
      </c>
    </row>
    <row r="3" spans="1:48" ht="54" customHeight="1" x14ac:dyDescent="0.3">
      <c r="A3" s="124"/>
      <c r="B3" s="124"/>
      <c r="C3" s="124"/>
      <c r="D3" s="139"/>
      <c r="E3" s="140" t="s">
        <v>39</v>
      </c>
      <c r="F3" s="141" t="s">
        <v>40</v>
      </c>
      <c r="G3" s="142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24"/>
      <c r="U3" s="137"/>
      <c r="V3" s="137"/>
      <c r="W3" s="137"/>
      <c r="X3" s="137"/>
      <c r="Y3" s="143"/>
      <c r="Z3" s="120"/>
      <c r="AA3" s="120"/>
      <c r="AB3" s="120"/>
      <c r="AC3" s="120"/>
      <c r="AD3" s="4"/>
      <c r="AE3" s="4"/>
      <c r="AF3" s="4"/>
      <c r="AG3" s="4"/>
      <c r="AH3" s="1"/>
      <c r="AI3" s="1"/>
      <c r="AJ3" s="1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s="14" customFormat="1" ht="27" customHeight="1" x14ac:dyDescent="0.25">
      <c r="A4" s="6" t="s">
        <v>41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10"/>
      <c r="Z4" s="11"/>
      <c r="AA4" s="11"/>
      <c r="AB4" s="11"/>
      <c r="AC4" s="11"/>
      <c r="AD4" s="12"/>
      <c r="AE4" s="12"/>
      <c r="AF4" s="12"/>
      <c r="AG4" s="12"/>
      <c r="AH4" s="12"/>
      <c r="AI4" s="12"/>
      <c r="AJ4" s="12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25" customFormat="1" ht="19.5" customHeight="1" x14ac:dyDescent="0.3">
      <c r="A5" s="15">
        <v>1</v>
      </c>
      <c r="B5" s="15" t="s">
        <v>42</v>
      </c>
      <c r="C5" s="16" t="s">
        <v>43</v>
      </c>
      <c r="D5" s="16"/>
      <c r="E5" s="17"/>
      <c r="F5" s="18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20">
        <v>232.7</v>
      </c>
      <c r="V5" s="20"/>
      <c r="W5" s="20"/>
      <c r="X5" s="20"/>
      <c r="Y5" s="21">
        <v>895.8</v>
      </c>
      <c r="Z5" s="22">
        <v>177.7</v>
      </c>
      <c r="AA5" s="22">
        <v>40</v>
      </c>
      <c r="AB5" s="22">
        <v>15</v>
      </c>
      <c r="AC5" s="22">
        <f>IF(SUM(Z5:AB5)=0,"",SUM(Z5:AB5))</f>
        <v>232.7</v>
      </c>
      <c r="AD5" s="23">
        <f>280+(AC5-200)*0.1</f>
        <v>283.27</v>
      </c>
      <c r="AE5" s="23">
        <f>AD5*Z5/AC5</f>
        <v>216.31748603351951</v>
      </c>
      <c r="AF5" s="23">
        <f>AD5*AA5/AC5</f>
        <v>48.692737430167597</v>
      </c>
      <c r="AG5" s="23">
        <f>AD5*AB5/AC5</f>
        <v>18.259776536312845</v>
      </c>
      <c r="AH5" s="23">
        <f>AVERAGE(AI5:AJ5)</f>
        <v>37.769333333333329</v>
      </c>
      <c r="AI5" s="23">
        <f>AD5/15</f>
        <v>18.884666666666664</v>
      </c>
      <c r="AJ5" s="23">
        <f>AD5/5</f>
        <v>56.653999999999996</v>
      </c>
      <c r="AK5" s="24"/>
      <c r="AL5" s="24"/>
      <c r="AM5" s="24"/>
      <c r="AN5" s="24"/>
      <c r="AO5" s="24"/>
      <c r="AP5" s="24"/>
      <c r="AQ5" s="24"/>
      <c r="AR5" s="24">
        <v>32</v>
      </c>
      <c r="AS5" s="24"/>
      <c r="AT5" s="24"/>
      <c r="AU5" s="24"/>
      <c r="AV5" s="24"/>
    </row>
    <row r="6" spans="1:48" s="25" customFormat="1" ht="37.5" customHeight="1" x14ac:dyDescent="0.3">
      <c r="A6" s="26"/>
      <c r="B6" s="26"/>
      <c r="C6" s="16" t="s">
        <v>44</v>
      </c>
      <c r="D6" s="19"/>
      <c r="E6" s="17"/>
      <c r="F6" s="18"/>
      <c r="G6" s="27">
        <v>42092</v>
      </c>
      <c r="H6" s="28">
        <v>1</v>
      </c>
      <c r="I6" s="28">
        <v>1</v>
      </c>
      <c r="J6" s="28">
        <v>1</v>
      </c>
      <c r="K6" s="18" t="s">
        <v>45</v>
      </c>
      <c r="L6" s="18" t="s">
        <v>45</v>
      </c>
      <c r="M6" s="18" t="s">
        <v>45</v>
      </c>
      <c r="N6" s="18" t="s">
        <v>45</v>
      </c>
      <c r="O6" s="28">
        <v>1</v>
      </c>
      <c r="P6" s="28">
        <v>1</v>
      </c>
      <c r="Q6" s="28">
        <v>1</v>
      </c>
      <c r="R6" s="28">
        <v>1</v>
      </c>
      <c r="S6" s="28">
        <v>1</v>
      </c>
      <c r="T6" s="19" t="s">
        <v>46</v>
      </c>
      <c r="U6" s="20">
        <f>V6+W6+X6</f>
        <v>392.78800000000001</v>
      </c>
      <c r="V6" s="20">
        <v>392.78800000000001</v>
      </c>
      <c r="W6" s="20"/>
      <c r="X6" s="20"/>
      <c r="Y6" s="21"/>
      <c r="Z6" s="29">
        <v>300.5</v>
      </c>
      <c r="AA6" s="29">
        <v>64</v>
      </c>
      <c r="AB6" s="29">
        <v>28.288</v>
      </c>
      <c r="AC6" s="29">
        <f>IF(SUM(Z6:AB6)=0,"",SUM(Z6:AB6))</f>
        <v>392.78800000000001</v>
      </c>
      <c r="AD6" s="23">
        <f t="shared" ref="AD6:AD7" si="0">280+(AC6-200)*0.1</f>
        <v>299.27879999999999</v>
      </c>
      <c r="AE6" s="23">
        <f t="shared" ref="AE6:AE69" si="1">AD6*Z6/AC6</f>
        <v>228.9613720378423</v>
      </c>
      <c r="AF6" s="23">
        <f t="shared" ref="AF6:AF69" si="2">AD6*AA6/AC6</f>
        <v>48.76381966862531</v>
      </c>
      <c r="AG6" s="23">
        <f t="shared" ref="AG6:AG69" si="3">AD6*AB6/AC6</f>
        <v>21.553608293532388</v>
      </c>
      <c r="AH6" s="23">
        <f t="shared" ref="AH6:AH69" si="4">AVERAGE(AI6:AJ6)</f>
        <v>39.903839999999995</v>
      </c>
      <c r="AI6" s="23">
        <f t="shared" ref="AI6:AI69" si="5">AD6/15</f>
        <v>19.951919999999998</v>
      </c>
      <c r="AJ6" s="23">
        <f t="shared" ref="AJ6:AJ69" si="6">AD6/5</f>
        <v>59.855759999999997</v>
      </c>
      <c r="AK6" s="30"/>
      <c r="AL6" s="30"/>
      <c r="AM6" s="30"/>
      <c r="AN6" s="24"/>
      <c r="AO6" s="24"/>
      <c r="AP6" s="24"/>
      <c r="AQ6" s="24"/>
      <c r="AR6" s="30">
        <v>392.78800000000001</v>
      </c>
      <c r="AS6" s="30"/>
      <c r="AT6" s="30"/>
      <c r="AU6" s="30"/>
      <c r="AV6" s="30"/>
    </row>
    <row r="7" spans="1:48" s="25" customFormat="1" ht="37.5" x14ac:dyDescent="0.3">
      <c r="A7" s="26"/>
      <c r="B7" s="26"/>
      <c r="C7" s="16" t="s">
        <v>47</v>
      </c>
      <c r="D7" s="19" t="s">
        <v>48</v>
      </c>
      <c r="E7" s="17"/>
      <c r="F7" s="18"/>
      <c r="G7" s="27">
        <v>42093</v>
      </c>
      <c r="H7" s="28">
        <v>1</v>
      </c>
      <c r="I7" s="28">
        <v>1</v>
      </c>
      <c r="J7" s="28">
        <v>1</v>
      </c>
      <c r="K7" s="18" t="s">
        <v>45</v>
      </c>
      <c r="L7" s="18" t="s">
        <v>45</v>
      </c>
      <c r="M7" s="18" t="s">
        <v>45</v>
      </c>
      <c r="N7" s="18" t="s">
        <v>45</v>
      </c>
      <c r="O7" s="28">
        <v>1</v>
      </c>
      <c r="P7" s="28">
        <v>1</v>
      </c>
      <c r="Q7" s="28">
        <v>1</v>
      </c>
      <c r="R7" s="28">
        <v>1</v>
      </c>
      <c r="S7" s="28">
        <v>1</v>
      </c>
      <c r="T7" s="19" t="s">
        <v>46</v>
      </c>
      <c r="U7" s="20">
        <f t="shared" ref="U7:U85" si="7">V7+W7+X7</f>
        <v>253.99100000000001</v>
      </c>
      <c r="V7" s="20">
        <v>253.99100000000001</v>
      </c>
      <c r="W7" s="20"/>
      <c r="X7" s="20"/>
      <c r="Y7" s="21"/>
      <c r="Z7" s="29">
        <v>232.19</v>
      </c>
      <c r="AA7" s="29">
        <v>3.5</v>
      </c>
      <c r="AB7" s="29">
        <v>18.3</v>
      </c>
      <c r="AC7" s="29">
        <f>IF(SUM(Z7:AB7)=0,"",SUM(Z7:AB7))</f>
        <v>253.99</v>
      </c>
      <c r="AD7" s="23">
        <f t="shared" si="0"/>
        <v>285.399</v>
      </c>
      <c r="AE7" s="23">
        <f t="shared" si="1"/>
        <v>260.90316079373201</v>
      </c>
      <c r="AF7" s="23">
        <f t="shared" si="2"/>
        <v>3.9328182211898106</v>
      </c>
      <c r="AG7" s="23">
        <f t="shared" si="3"/>
        <v>20.56302098507815</v>
      </c>
      <c r="AH7" s="23">
        <f t="shared" si="4"/>
        <v>38.053199999999997</v>
      </c>
      <c r="AI7" s="23">
        <f t="shared" si="5"/>
        <v>19.026599999999998</v>
      </c>
      <c r="AJ7" s="23">
        <f t="shared" si="6"/>
        <v>57.079799999999999</v>
      </c>
      <c r="AK7" s="30"/>
      <c r="AL7" s="30"/>
      <c r="AM7" s="30"/>
      <c r="AN7" s="24"/>
      <c r="AO7" s="24"/>
      <c r="AP7" s="24"/>
      <c r="AQ7" s="24"/>
      <c r="AR7" s="30">
        <v>253.99100000000001</v>
      </c>
      <c r="AS7" s="30"/>
      <c r="AT7" s="30"/>
      <c r="AU7" s="30"/>
      <c r="AV7" s="30"/>
    </row>
    <row r="8" spans="1:48" s="25" customFormat="1" ht="37.5" x14ac:dyDescent="0.3">
      <c r="A8" s="26"/>
      <c r="B8" s="26"/>
      <c r="C8" s="16" t="s">
        <v>49</v>
      </c>
      <c r="D8" s="19"/>
      <c r="E8" s="17"/>
      <c r="F8" s="18"/>
      <c r="G8" s="2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  <c r="U8" s="20">
        <v>19.835000000000001</v>
      </c>
      <c r="V8" s="20"/>
      <c r="W8" s="20"/>
      <c r="X8" s="20"/>
      <c r="Y8" s="21" t="s">
        <v>50</v>
      </c>
      <c r="Z8" s="29"/>
      <c r="AA8" s="29"/>
      <c r="AB8" s="29"/>
      <c r="AC8" s="29">
        <v>19.835000000000001</v>
      </c>
      <c r="AD8" s="23">
        <f>50+(AC8-10)*5</f>
        <v>99.175000000000011</v>
      </c>
      <c r="AE8" s="23">
        <f t="shared" si="1"/>
        <v>0</v>
      </c>
      <c r="AF8" s="23">
        <f t="shared" si="2"/>
        <v>0</v>
      </c>
      <c r="AG8" s="23">
        <f t="shared" si="3"/>
        <v>0</v>
      </c>
      <c r="AH8" s="23">
        <f t="shared" si="4"/>
        <v>13.223333333333334</v>
      </c>
      <c r="AI8" s="23">
        <f t="shared" si="5"/>
        <v>6.6116666666666672</v>
      </c>
      <c r="AJ8" s="23">
        <f t="shared" si="6"/>
        <v>19.835000000000001</v>
      </c>
      <c r="AK8" s="24"/>
      <c r="AL8" s="24"/>
      <c r="AM8" s="24"/>
      <c r="AN8" s="24"/>
      <c r="AO8" s="24"/>
      <c r="AP8" s="24"/>
      <c r="AQ8" s="24"/>
      <c r="AR8" s="24" t="s">
        <v>51</v>
      </c>
      <c r="AS8" s="24"/>
      <c r="AT8" s="24"/>
      <c r="AU8" s="24"/>
      <c r="AV8" s="24"/>
    </row>
    <row r="9" spans="1:48" s="42" customFormat="1" x14ac:dyDescent="0.3">
      <c r="A9" s="31"/>
      <c r="B9" s="31"/>
      <c r="C9" s="32" t="s">
        <v>52</v>
      </c>
      <c r="D9" s="33"/>
      <c r="E9" s="34"/>
      <c r="F9" s="35"/>
      <c r="G9" s="3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3"/>
      <c r="U9" s="37">
        <f t="shared" ref="U9:AJ9" si="8">SUM(U5:U8)</f>
        <v>899.31400000000008</v>
      </c>
      <c r="V9" s="37">
        <f t="shared" si="8"/>
        <v>646.779</v>
      </c>
      <c r="W9" s="37">
        <f t="shared" si="8"/>
        <v>0</v>
      </c>
      <c r="X9" s="37">
        <f t="shared" si="8"/>
        <v>0</v>
      </c>
      <c r="Y9" s="38">
        <f t="shared" si="8"/>
        <v>895.8</v>
      </c>
      <c r="Z9" s="39">
        <f t="shared" si="8"/>
        <v>710.39</v>
      </c>
      <c r="AA9" s="39">
        <f t="shared" si="8"/>
        <v>107.5</v>
      </c>
      <c r="AB9" s="39">
        <f t="shared" si="8"/>
        <v>61.587999999999994</v>
      </c>
      <c r="AC9" s="39">
        <f t="shared" si="8"/>
        <v>899.3130000000001</v>
      </c>
      <c r="AD9" s="40">
        <f t="shared" si="8"/>
        <v>967.1228000000001</v>
      </c>
      <c r="AE9" s="40">
        <f t="shared" si="8"/>
        <v>706.18201886509382</v>
      </c>
      <c r="AF9" s="40">
        <f t="shared" si="8"/>
        <v>101.3893753199827</v>
      </c>
      <c r="AG9" s="40">
        <f t="shared" si="8"/>
        <v>60.376405814923388</v>
      </c>
      <c r="AH9" s="40">
        <f t="shared" si="8"/>
        <v>128.94970666666666</v>
      </c>
      <c r="AI9" s="40">
        <f t="shared" si="8"/>
        <v>64.474853333333328</v>
      </c>
      <c r="AJ9" s="40">
        <f t="shared" si="8"/>
        <v>193.42456000000001</v>
      </c>
      <c r="AK9" s="41"/>
      <c r="AL9" s="41"/>
      <c r="AM9" s="41"/>
      <c r="AN9" s="41"/>
      <c r="AO9" s="41"/>
      <c r="AP9" s="41"/>
      <c r="AQ9" s="41"/>
      <c r="AR9" s="41">
        <v>678.779</v>
      </c>
      <c r="AS9" s="41"/>
      <c r="AT9" s="41"/>
      <c r="AU9" s="41"/>
      <c r="AV9" s="41"/>
    </row>
    <row r="10" spans="1:48" s="25" customFormat="1" x14ac:dyDescent="0.3">
      <c r="A10" s="15">
        <v>2</v>
      </c>
      <c r="B10" s="15" t="s">
        <v>53</v>
      </c>
      <c r="C10" s="16" t="s">
        <v>43</v>
      </c>
      <c r="D10" s="19"/>
      <c r="E10" s="17"/>
      <c r="F10" s="18"/>
      <c r="G10" s="27"/>
      <c r="H10" s="43"/>
      <c r="I10" s="43"/>
      <c r="J10" s="43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20">
        <v>116.6</v>
      </c>
      <c r="V10" s="20"/>
      <c r="W10" s="20"/>
      <c r="X10" s="20"/>
      <c r="Y10" s="21">
        <v>195</v>
      </c>
      <c r="Z10" s="22">
        <v>46.6</v>
      </c>
      <c r="AA10" s="22">
        <v>66</v>
      </c>
      <c r="AB10" s="22">
        <v>4</v>
      </c>
      <c r="AC10" s="22">
        <f>IF(SUM(Z10:AB10)=0,"",SUM(Z10:AB10))</f>
        <v>116.6</v>
      </c>
      <c r="AD10" s="23">
        <f>160+(AC10-50)*0.8</f>
        <v>213.28</v>
      </c>
      <c r="AE10" s="23">
        <f t="shared" si="1"/>
        <v>85.238833619210979</v>
      </c>
      <c r="AF10" s="23">
        <f t="shared" si="2"/>
        <v>120.72452830188679</v>
      </c>
      <c r="AG10" s="23">
        <f t="shared" si="3"/>
        <v>7.3166380789022298</v>
      </c>
      <c r="AH10" s="23">
        <f t="shared" si="4"/>
        <v>28.437333333333335</v>
      </c>
      <c r="AI10" s="23">
        <f t="shared" si="5"/>
        <v>14.218666666666667</v>
      </c>
      <c r="AJ10" s="23">
        <f t="shared" si="6"/>
        <v>42.655999999999999</v>
      </c>
      <c r="AK10" s="44"/>
      <c r="AL10" s="44"/>
      <c r="AM10" s="44"/>
      <c r="AN10" s="24"/>
      <c r="AO10" s="24"/>
      <c r="AP10" s="24"/>
      <c r="AQ10" s="24"/>
      <c r="AR10" s="24">
        <v>15</v>
      </c>
      <c r="AS10" s="24"/>
      <c r="AT10" s="24"/>
      <c r="AU10" s="24"/>
      <c r="AV10" s="24"/>
    </row>
    <row r="11" spans="1:48" s="25" customFormat="1" ht="37.5" x14ac:dyDescent="0.3">
      <c r="A11" s="26"/>
      <c r="B11" s="26"/>
      <c r="C11" s="16" t="s">
        <v>54</v>
      </c>
      <c r="D11" s="19" t="s">
        <v>55</v>
      </c>
      <c r="E11" s="17">
        <v>40885</v>
      </c>
      <c r="F11" s="18">
        <v>33</v>
      </c>
      <c r="G11" s="17"/>
      <c r="H11" s="43">
        <v>1</v>
      </c>
      <c r="I11" s="43">
        <v>1</v>
      </c>
      <c r="J11" s="43">
        <v>1</v>
      </c>
      <c r="K11" s="18" t="s">
        <v>45</v>
      </c>
      <c r="L11" s="18" t="s">
        <v>45</v>
      </c>
      <c r="M11" s="18" t="s">
        <v>45</v>
      </c>
      <c r="N11" s="18" t="s">
        <v>45</v>
      </c>
      <c r="O11" s="28">
        <v>1</v>
      </c>
      <c r="P11" s="28">
        <v>1</v>
      </c>
      <c r="Q11" s="28">
        <v>1</v>
      </c>
      <c r="R11" s="28">
        <v>1</v>
      </c>
      <c r="S11" s="18" t="s">
        <v>45</v>
      </c>
      <c r="T11" s="19" t="s">
        <v>56</v>
      </c>
      <c r="U11" s="20">
        <f t="shared" si="7"/>
        <v>76.997</v>
      </c>
      <c r="V11" s="20">
        <v>54.758000000000003</v>
      </c>
      <c r="W11" s="20">
        <v>22.239000000000001</v>
      </c>
      <c r="X11" s="20">
        <v>0</v>
      </c>
      <c r="Y11" s="21"/>
      <c r="Z11" s="29">
        <v>54.758000000000003</v>
      </c>
      <c r="AA11" s="29">
        <v>22.239000000000001</v>
      </c>
      <c r="AB11" s="29">
        <v>0</v>
      </c>
      <c r="AC11" s="29">
        <f>IF(SUM(Z11:AB11)=0,"",SUM(Z11:AB11))</f>
        <v>76.997</v>
      </c>
      <c r="AD11" s="23">
        <f t="shared" ref="AD11:AD14" si="9">160+(AC11-50)*0.8</f>
        <v>181.5976</v>
      </c>
      <c r="AE11" s="23">
        <f t="shared" si="1"/>
        <v>129.14686781043417</v>
      </c>
      <c r="AF11" s="23">
        <f t="shared" si="2"/>
        <v>52.450732189565827</v>
      </c>
      <c r="AG11" s="23">
        <f t="shared" si="3"/>
        <v>0</v>
      </c>
      <c r="AH11" s="23">
        <f t="shared" si="4"/>
        <v>24.213013333333333</v>
      </c>
      <c r="AI11" s="23">
        <f t="shared" si="5"/>
        <v>12.106506666666666</v>
      </c>
      <c r="AJ11" s="23">
        <f t="shared" si="6"/>
        <v>36.319519999999997</v>
      </c>
      <c r="AK11" s="44"/>
      <c r="AL11" s="44"/>
      <c r="AM11" s="44"/>
      <c r="AN11" s="24"/>
      <c r="AO11" s="24"/>
      <c r="AP11" s="24"/>
      <c r="AQ11" s="24"/>
      <c r="AR11" s="30">
        <v>54</v>
      </c>
      <c r="AS11" s="30"/>
      <c r="AT11" s="30"/>
      <c r="AU11" s="30"/>
      <c r="AV11" s="24"/>
    </row>
    <row r="12" spans="1:48" s="42" customFormat="1" x14ac:dyDescent="0.3">
      <c r="A12" s="31"/>
      <c r="B12" s="31"/>
      <c r="C12" s="32" t="s">
        <v>52</v>
      </c>
      <c r="D12" s="33"/>
      <c r="E12" s="34"/>
      <c r="F12" s="35"/>
      <c r="G12" s="36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3"/>
      <c r="U12" s="45">
        <f t="shared" ref="U12:AJ12" si="10">SUM(U10:U11)</f>
        <v>193.59699999999998</v>
      </c>
      <c r="V12" s="45">
        <f t="shared" si="10"/>
        <v>54.758000000000003</v>
      </c>
      <c r="W12" s="45">
        <f t="shared" si="10"/>
        <v>22.239000000000001</v>
      </c>
      <c r="X12" s="45">
        <f t="shared" si="10"/>
        <v>0</v>
      </c>
      <c r="Y12" s="38">
        <f t="shared" si="10"/>
        <v>195</v>
      </c>
      <c r="Z12" s="39">
        <f t="shared" si="10"/>
        <v>101.358</v>
      </c>
      <c r="AA12" s="39">
        <f t="shared" si="10"/>
        <v>88.239000000000004</v>
      </c>
      <c r="AB12" s="39">
        <f t="shared" si="10"/>
        <v>4</v>
      </c>
      <c r="AC12" s="39">
        <f t="shared" si="10"/>
        <v>193.59699999999998</v>
      </c>
      <c r="AD12" s="40">
        <f t="shared" si="10"/>
        <v>394.87760000000003</v>
      </c>
      <c r="AE12" s="40">
        <f t="shared" si="10"/>
        <v>214.38570142964517</v>
      </c>
      <c r="AF12" s="40">
        <f t="shared" si="10"/>
        <v>173.1752604914526</v>
      </c>
      <c r="AG12" s="40">
        <f t="shared" si="10"/>
        <v>7.3166380789022298</v>
      </c>
      <c r="AH12" s="40">
        <f t="shared" si="10"/>
        <v>52.650346666666664</v>
      </c>
      <c r="AI12" s="40">
        <f t="shared" si="10"/>
        <v>26.325173333333332</v>
      </c>
      <c r="AJ12" s="40">
        <f t="shared" si="10"/>
        <v>78.975519999999989</v>
      </c>
      <c r="AK12" s="41"/>
      <c r="AL12" s="41"/>
      <c r="AM12" s="41"/>
      <c r="AN12" s="41"/>
      <c r="AO12" s="41"/>
      <c r="AP12" s="41"/>
      <c r="AQ12" s="41"/>
      <c r="AR12" s="41">
        <v>69</v>
      </c>
      <c r="AS12" s="41"/>
      <c r="AT12" s="41"/>
      <c r="AU12" s="41"/>
      <c r="AV12" s="41"/>
    </row>
    <row r="13" spans="1:48" s="25" customFormat="1" ht="18.75" customHeight="1" collapsed="1" x14ac:dyDescent="0.3">
      <c r="A13" s="15">
        <v>3</v>
      </c>
      <c r="B13" s="46" t="s">
        <v>57</v>
      </c>
      <c r="C13" s="16" t="s">
        <v>58</v>
      </c>
      <c r="D13" s="19"/>
      <c r="E13" s="17"/>
      <c r="F13" s="18"/>
      <c r="G13" s="17"/>
      <c r="H13" s="43"/>
      <c r="I13" s="18"/>
      <c r="J13" s="18"/>
      <c r="K13" s="18"/>
      <c r="L13" s="18" t="s">
        <v>45</v>
      </c>
      <c r="M13" s="18" t="s">
        <v>45</v>
      </c>
      <c r="N13" s="18" t="s">
        <v>45</v>
      </c>
      <c r="O13" s="18"/>
      <c r="P13" s="18"/>
      <c r="Q13" s="18"/>
      <c r="R13" s="18"/>
      <c r="S13" s="18"/>
      <c r="T13" s="19"/>
      <c r="U13" s="47">
        <v>39.590000000000003</v>
      </c>
      <c r="V13" s="20"/>
      <c r="W13" s="20"/>
      <c r="X13" s="20"/>
      <c r="Y13" s="21">
        <v>882.1</v>
      </c>
      <c r="Z13" s="48">
        <v>53.7</v>
      </c>
      <c r="AA13" s="48">
        <v>10</v>
      </c>
      <c r="AB13" s="48">
        <v>0</v>
      </c>
      <c r="AC13" s="48">
        <f t="shared" ref="AC13:AC18" si="11">IF(SUM(Z13:AB13)=0,"",SUM(Z13:AB13))</f>
        <v>63.7</v>
      </c>
      <c r="AD13" s="23">
        <f t="shared" si="9"/>
        <v>170.96</v>
      </c>
      <c r="AE13" s="23">
        <f t="shared" si="1"/>
        <v>144.12169544740976</v>
      </c>
      <c r="AF13" s="23">
        <f t="shared" si="2"/>
        <v>26.838304552590269</v>
      </c>
      <c r="AG13" s="23">
        <f t="shared" si="3"/>
        <v>0</v>
      </c>
      <c r="AH13" s="23">
        <f t="shared" si="4"/>
        <v>22.794666666666668</v>
      </c>
      <c r="AI13" s="23">
        <f t="shared" si="5"/>
        <v>11.397333333333334</v>
      </c>
      <c r="AJ13" s="23">
        <f t="shared" si="6"/>
        <v>34.192</v>
      </c>
      <c r="AK13" s="44"/>
      <c r="AL13" s="24"/>
      <c r="AM13" s="24"/>
      <c r="AN13" s="24"/>
      <c r="AO13" s="24"/>
      <c r="AP13" s="24"/>
      <c r="AQ13" s="24"/>
      <c r="AR13" s="24">
        <v>64.540000000000006</v>
      </c>
      <c r="AS13" s="24"/>
      <c r="AT13" s="24"/>
      <c r="AU13" s="24"/>
      <c r="AV13" s="24"/>
    </row>
    <row r="14" spans="1:48" s="25" customFormat="1" ht="38.25" customHeight="1" x14ac:dyDescent="0.3">
      <c r="A14" s="26"/>
      <c r="B14" s="49"/>
      <c r="C14" s="16" t="s">
        <v>59</v>
      </c>
      <c r="D14" s="19" t="s">
        <v>60</v>
      </c>
      <c r="E14" s="17" t="s">
        <v>61</v>
      </c>
      <c r="F14" s="18" t="s">
        <v>62</v>
      </c>
      <c r="G14" s="17"/>
      <c r="H14" s="43">
        <v>1</v>
      </c>
      <c r="I14" s="28">
        <v>1</v>
      </c>
      <c r="J14" s="28">
        <v>1</v>
      </c>
      <c r="K14" s="28">
        <v>1</v>
      </c>
      <c r="L14" s="28">
        <v>1</v>
      </c>
      <c r="M14" s="18" t="s">
        <v>45</v>
      </c>
      <c r="N14" s="18" t="s">
        <v>45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19" t="s">
        <v>63</v>
      </c>
      <c r="U14" s="20">
        <f t="shared" si="7"/>
        <v>110.43</v>
      </c>
      <c r="V14" s="20">
        <v>48.404000000000003</v>
      </c>
      <c r="W14" s="20">
        <v>62.026000000000003</v>
      </c>
      <c r="X14" s="20">
        <v>0</v>
      </c>
      <c r="Y14" s="21"/>
      <c r="Z14" s="50">
        <v>48.404000000000003</v>
      </c>
      <c r="AA14" s="50">
        <v>62.026000000000003</v>
      </c>
      <c r="AB14" s="50">
        <v>0</v>
      </c>
      <c r="AC14" s="29">
        <f t="shared" si="11"/>
        <v>110.43</v>
      </c>
      <c r="AD14" s="23">
        <f t="shared" si="9"/>
        <v>208.34399999999999</v>
      </c>
      <c r="AE14" s="23">
        <f t="shared" si="1"/>
        <v>91.321950339581633</v>
      </c>
      <c r="AF14" s="23">
        <f t="shared" si="2"/>
        <v>117.02204966041836</v>
      </c>
      <c r="AG14" s="23">
        <f t="shared" si="3"/>
        <v>0</v>
      </c>
      <c r="AH14" s="23">
        <f t="shared" si="4"/>
        <v>27.779199999999999</v>
      </c>
      <c r="AI14" s="23">
        <f t="shared" si="5"/>
        <v>13.8896</v>
      </c>
      <c r="AJ14" s="23">
        <f t="shared" si="6"/>
        <v>41.668799999999997</v>
      </c>
      <c r="AK14" s="44"/>
      <c r="AL14" s="30"/>
      <c r="AM14" s="30"/>
      <c r="AN14" s="30"/>
      <c r="AO14" s="30"/>
      <c r="AP14" s="24"/>
      <c r="AQ14" s="24"/>
      <c r="AR14" s="30">
        <v>43.82</v>
      </c>
      <c r="AS14" s="30"/>
      <c r="AT14" s="30"/>
      <c r="AU14" s="30"/>
      <c r="AV14" s="30"/>
    </row>
    <row r="15" spans="1:48" s="25" customFormat="1" ht="36" customHeight="1" x14ac:dyDescent="0.3">
      <c r="A15" s="26"/>
      <c r="B15" s="49"/>
      <c r="C15" s="16" t="s">
        <v>64</v>
      </c>
      <c r="D15" s="19" t="s">
        <v>65</v>
      </c>
      <c r="E15" s="17">
        <v>40710</v>
      </c>
      <c r="F15" s="18">
        <v>12</v>
      </c>
      <c r="G15" s="27"/>
      <c r="H15" s="43">
        <v>1</v>
      </c>
      <c r="I15" s="28">
        <v>1</v>
      </c>
      <c r="J15" s="28">
        <v>1</v>
      </c>
      <c r="K15" s="28">
        <v>1</v>
      </c>
      <c r="L15" s="18" t="s">
        <v>45</v>
      </c>
      <c r="M15" s="18" t="s">
        <v>45</v>
      </c>
      <c r="N15" s="18" t="s">
        <v>45</v>
      </c>
      <c r="O15" s="18" t="s">
        <v>45</v>
      </c>
      <c r="P15" s="18" t="s">
        <v>45</v>
      </c>
      <c r="Q15" s="28">
        <v>1</v>
      </c>
      <c r="R15" s="18" t="s">
        <v>45</v>
      </c>
      <c r="S15" s="18" t="s">
        <v>45</v>
      </c>
      <c r="T15" s="19" t="s">
        <v>66</v>
      </c>
      <c r="U15" s="20">
        <f t="shared" si="7"/>
        <v>11.782999999999999</v>
      </c>
      <c r="V15" s="20">
        <v>5.9089999999999998</v>
      </c>
      <c r="W15" s="20">
        <v>5.8739999999999997</v>
      </c>
      <c r="X15" s="20"/>
      <c r="Y15" s="21"/>
      <c r="Z15" s="29">
        <v>5.9089999999999998</v>
      </c>
      <c r="AA15" s="29">
        <v>5.8739999999999997</v>
      </c>
      <c r="AB15" s="29">
        <v>0</v>
      </c>
      <c r="AC15" s="29">
        <f t="shared" si="11"/>
        <v>11.782999999999999</v>
      </c>
      <c r="AD15" s="23">
        <f>50+(AC15-10)*5</f>
        <v>58.914999999999999</v>
      </c>
      <c r="AE15" s="23">
        <f t="shared" si="1"/>
        <v>29.545000000000002</v>
      </c>
      <c r="AF15" s="23">
        <f t="shared" si="2"/>
        <v>29.37</v>
      </c>
      <c r="AG15" s="23">
        <f t="shared" si="3"/>
        <v>0</v>
      </c>
      <c r="AH15" s="23">
        <f t="shared" si="4"/>
        <v>7.8553333333333333</v>
      </c>
      <c r="AI15" s="23">
        <f t="shared" si="5"/>
        <v>3.9276666666666666</v>
      </c>
      <c r="AJ15" s="23">
        <f t="shared" si="6"/>
        <v>11.782999999999999</v>
      </c>
      <c r="AK15" s="44"/>
      <c r="AL15" s="30"/>
      <c r="AM15" s="30"/>
      <c r="AN15" s="30"/>
      <c r="AO15" s="24"/>
      <c r="AP15" s="24"/>
      <c r="AQ15" s="24"/>
      <c r="AR15" s="24" t="s">
        <v>67</v>
      </c>
      <c r="AS15" s="24"/>
      <c r="AT15" s="30"/>
      <c r="AU15" s="24"/>
      <c r="AV15" s="24"/>
    </row>
    <row r="16" spans="1:48" s="25" customFormat="1" ht="36" customHeight="1" x14ac:dyDescent="0.3">
      <c r="A16" s="26"/>
      <c r="B16" s="49"/>
      <c r="C16" s="16" t="s">
        <v>68</v>
      </c>
      <c r="D16" s="19" t="s">
        <v>69</v>
      </c>
      <c r="E16" s="17">
        <v>41809</v>
      </c>
      <c r="F16" s="18">
        <v>102</v>
      </c>
      <c r="G16" s="27"/>
      <c r="H16" s="43">
        <v>1</v>
      </c>
      <c r="I16" s="28">
        <v>1</v>
      </c>
      <c r="J16" s="28">
        <v>1</v>
      </c>
      <c r="K16" s="28">
        <v>1</v>
      </c>
      <c r="L16" s="18" t="s">
        <v>45</v>
      </c>
      <c r="M16" s="18" t="s">
        <v>45</v>
      </c>
      <c r="N16" s="18" t="s">
        <v>45</v>
      </c>
      <c r="O16" s="28">
        <v>1</v>
      </c>
      <c r="P16" s="28">
        <v>1</v>
      </c>
      <c r="Q16" s="28">
        <v>1</v>
      </c>
      <c r="R16" s="18" t="s">
        <v>45</v>
      </c>
      <c r="S16" s="18" t="s">
        <v>45</v>
      </c>
      <c r="T16" s="19" t="s">
        <v>70</v>
      </c>
      <c r="U16" s="20">
        <f t="shared" si="7"/>
        <v>21.161999999999999</v>
      </c>
      <c r="V16" s="20">
        <v>21.161999999999999</v>
      </c>
      <c r="W16" s="20"/>
      <c r="X16" s="20"/>
      <c r="Y16" s="21"/>
      <c r="Z16" s="29">
        <v>21.161999999999999</v>
      </c>
      <c r="AA16" s="29">
        <v>0</v>
      </c>
      <c r="AB16" s="29">
        <v>0</v>
      </c>
      <c r="AC16" s="29">
        <f t="shared" si="11"/>
        <v>21.161999999999999</v>
      </c>
      <c r="AD16" s="23">
        <f>100+(AC16-20)*2</f>
        <v>102.324</v>
      </c>
      <c r="AE16" s="23">
        <f t="shared" si="1"/>
        <v>102.324</v>
      </c>
      <c r="AF16" s="23">
        <f t="shared" si="2"/>
        <v>0</v>
      </c>
      <c r="AG16" s="23">
        <f t="shared" si="3"/>
        <v>0</v>
      </c>
      <c r="AH16" s="23">
        <f t="shared" si="4"/>
        <v>13.6432</v>
      </c>
      <c r="AI16" s="23">
        <f t="shared" si="5"/>
        <v>6.8216000000000001</v>
      </c>
      <c r="AJ16" s="23">
        <f t="shared" si="6"/>
        <v>20.4648</v>
      </c>
      <c r="AK16" s="44"/>
      <c r="AL16" s="30"/>
      <c r="AM16" s="30"/>
      <c r="AN16" s="30"/>
      <c r="AO16" s="24"/>
      <c r="AP16" s="24"/>
      <c r="AQ16" s="24"/>
      <c r="AR16" s="30">
        <v>21.161999999999999</v>
      </c>
      <c r="AS16" s="30"/>
      <c r="AT16" s="30"/>
      <c r="AU16" s="24"/>
      <c r="AV16" s="24"/>
    </row>
    <row r="17" spans="1:48" s="25" customFormat="1" ht="39.75" customHeight="1" x14ac:dyDescent="0.3">
      <c r="A17" s="26"/>
      <c r="B17" s="49"/>
      <c r="C17" s="16" t="s">
        <v>71</v>
      </c>
      <c r="D17" s="19"/>
      <c r="E17" s="17"/>
      <c r="F17" s="18"/>
      <c r="G17" s="27">
        <v>42093</v>
      </c>
      <c r="H17" s="43">
        <v>1</v>
      </c>
      <c r="I17" s="28">
        <v>1</v>
      </c>
      <c r="J17" s="28">
        <v>1</v>
      </c>
      <c r="K17" s="28">
        <v>1</v>
      </c>
      <c r="L17" s="18" t="s">
        <v>45</v>
      </c>
      <c r="M17" s="18" t="s">
        <v>45</v>
      </c>
      <c r="N17" s="18" t="s">
        <v>45</v>
      </c>
      <c r="O17" s="18" t="s">
        <v>45</v>
      </c>
      <c r="P17" s="28">
        <v>1</v>
      </c>
      <c r="Q17" s="28">
        <v>1</v>
      </c>
      <c r="R17" s="18" t="s">
        <v>45</v>
      </c>
      <c r="S17" s="28">
        <v>1</v>
      </c>
      <c r="T17" s="19" t="s">
        <v>72</v>
      </c>
      <c r="U17" s="20">
        <v>50.768999999999998</v>
      </c>
      <c r="V17" s="20" t="s">
        <v>73</v>
      </c>
      <c r="W17" s="20" t="s">
        <v>73</v>
      </c>
      <c r="X17" s="20"/>
      <c r="Y17" s="21"/>
      <c r="Z17" s="29">
        <v>5.0999999999999996</v>
      </c>
      <c r="AA17" s="29">
        <v>44.77</v>
      </c>
      <c r="AB17" s="29">
        <v>0.9</v>
      </c>
      <c r="AC17" s="29">
        <f t="shared" si="11"/>
        <v>50.77</v>
      </c>
      <c r="AD17" s="23">
        <f t="shared" ref="AD17:AD18" si="12">160+(AC17-50)*0.8</f>
        <v>160.61600000000001</v>
      </c>
      <c r="AE17" s="23">
        <f t="shared" si="1"/>
        <v>16.134362812684657</v>
      </c>
      <c r="AF17" s="23">
        <f t="shared" si="2"/>
        <v>141.63439669095925</v>
      </c>
      <c r="AG17" s="23">
        <f t="shared" si="3"/>
        <v>2.847240496356116</v>
      </c>
      <c r="AH17" s="23">
        <f t="shared" si="4"/>
        <v>21.415466666666667</v>
      </c>
      <c r="AI17" s="23">
        <f t="shared" si="5"/>
        <v>10.707733333333334</v>
      </c>
      <c r="AJ17" s="23">
        <f t="shared" si="6"/>
        <v>32.123200000000004</v>
      </c>
      <c r="AK17" s="44"/>
      <c r="AL17" s="30"/>
      <c r="AM17" s="30"/>
      <c r="AN17" s="30"/>
      <c r="AO17" s="24"/>
      <c r="AP17" s="24"/>
      <c r="AQ17" s="24"/>
      <c r="AR17" s="24" t="s">
        <v>67</v>
      </c>
      <c r="AS17" s="30"/>
      <c r="AT17" s="30"/>
      <c r="AU17" s="24"/>
      <c r="AV17" s="30"/>
    </row>
    <row r="18" spans="1:48" s="25" customFormat="1" ht="41.25" customHeight="1" x14ac:dyDescent="0.3">
      <c r="A18" s="26"/>
      <c r="B18" s="49"/>
      <c r="C18" s="16" t="s">
        <v>74</v>
      </c>
      <c r="D18" s="19" t="s">
        <v>75</v>
      </c>
      <c r="E18" s="17">
        <v>40884</v>
      </c>
      <c r="F18" s="18">
        <v>32</v>
      </c>
      <c r="G18" s="17"/>
      <c r="H18" s="43">
        <v>1</v>
      </c>
      <c r="I18" s="28">
        <v>1</v>
      </c>
      <c r="J18" s="28">
        <v>1</v>
      </c>
      <c r="K18" s="28">
        <v>1</v>
      </c>
      <c r="L18" s="28">
        <v>1</v>
      </c>
      <c r="M18" s="18" t="s">
        <v>45</v>
      </c>
      <c r="N18" s="18" t="s">
        <v>45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19" t="s">
        <v>76</v>
      </c>
      <c r="U18" s="20">
        <f t="shared" ref="U18:U24" si="13">V18+W18+X18</f>
        <v>62.917999999999999</v>
      </c>
      <c r="V18" s="20">
        <v>11.747999999999999</v>
      </c>
      <c r="W18" s="20">
        <v>51.17</v>
      </c>
      <c r="X18" s="20"/>
      <c r="Y18" s="21"/>
      <c r="Z18" s="51">
        <v>11.747999999999999</v>
      </c>
      <c r="AA18" s="50">
        <v>51.17</v>
      </c>
      <c r="AB18" s="52">
        <v>0</v>
      </c>
      <c r="AC18" s="29">
        <f t="shared" si="11"/>
        <v>62.917999999999999</v>
      </c>
      <c r="AD18" s="23">
        <f t="shared" si="12"/>
        <v>170.33439999999999</v>
      </c>
      <c r="AE18" s="23">
        <f t="shared" si="1"/>
        <v>31.804706621316633</v>
      </c>
      <c r="AF18" s="23">
        <f t="shared" si="2"/>
        <v>138.52969337868336</v>
      </c>
      <c r="AG18" s="23">
        <f t="shared" si="3"/>
        <v>0</v>
      </c>
      <c r="AH18" s="23">
        <f t="shared" si="4"/>
        <v>22.711253333333332</v>
      </c>
      <c r="AI18" s="23">
        <f t="shared" si="5"/>
        <v>11.355626666666666</v>
      </c>
      <c r="AJ18" s="23">
        <f t="shared" si="6"/>
        <v>34.066879999999998</v>
      </c>
      <c r="AK18" s="44"/>
      <c r="AL18" s="30"/>
      <c r="AM18" s="30"/>
      <c r="AN18" s="30"/>
      <c r="AO18" s="30"/>
      <c r="AP18" s="24"/>
      <c r="AQ18" s="24"/>
      <c r="AR18" s="30">
        <v>11.75</v>
      </c>
      <c r="AS18" s="30"/>
      <c r="AT18" s="30"/>
      <c r="AU18" s="30"/>
      <c r="AV18" s="30"/>
    </row>
    <row r="19" spans="1:48" s="25" customFormat="1" ht="38.25" customHeight="1" x14ac:dyDescent="0.3">
      <c r="A19" s="26"/>
      <c r="B19" s="49"/>
      <c r="C19" s="16" t="s">
        <v>77</v>
      </c>
      <c r="D19" s="19" t="s">
        <v>78</v>
      </c>
      <c r="E19" s="17">
        <v>41148</v>
      </c>
      <c r="F19" s="18">
        <v>50</v>
      </c>
      <c r="G19" s="17"/>
      <c r="H19" s="43">
        <v>1</v>
      </c>
      <c r="I19" s="28">
        <v>1</v>
      </c>
      <c r="J19" s="28">
        <v>1</v>
      </c>
      <c r="K19" s="28">
        <v>1</v>
      </c>
      <c r="L19" s="18" t="s">
        <v>45</v>
      </c>
      <c r="M19" s="18" t="s">
        <v>45</v>
      </c>
      <c r="N19" s="18" t="s">
        <v>45</v>
      </c>
      <c r="O19" s="28">
        <v>1</v>
      </c>
      <c r="P19" s="28">
        <v>1</v>
      </c>
      <c r="Q19" s="28">
        <v>1</v>
      </c>
      <c r="R19" s="28">
        <v>1</v>
      </c>
      <c r="S19" s="28">
        <v>1</v>
      </c>
      <c r="T19" s="19" t="s">
        <v>79</v>
      </c>
      <c r="U19" s="20">
        <f t="shared" si="13"/>
        <v>32.601999999999997</v>
      </c>
      <c r="V19" s="20">
        <v>32.601999999999997</v>
      </c>
      <c r="W19" s="20"/>
      <c r="X19" s="20"/>
      <c r="Y19" s="21"/>
      <c r="Z19" s="29">
        <v>32.601999999999997</v>
      </c>
      <c r="AA19" s="29">
        <v>0</v>
      </c>
      <c r="AB19" s="29">
        <v>0</v>
      </c>
      <c r="AC19" s="29">
        <f>IF(SUM(Z19:AB19)=0,"",SUM(Z19:AB19))</f>
        <v>32.601999999999997</v>
      </c>
      <c r="AD19" s="23">
        <f t="shared" ref="AD19:AD20" si="14">100+(AC19-20)*2</f>
        <v>125.20399999999999</v>
      </c>
      <c r="AE19" s="23">
        <f t="shared" si="1"/>
        <v>125.20399999999999</v>
      </c>
      <c r="AF19" s="23">
        <f t="shared" si="2"/>
        <v>0</v>
      </c>
      <c r="AG19" s="23">
        <f t="shared" si="3"/>
        <v>0</v>
      </c>
      <c r="AH19" s="23">
        <f t="shared" si="4"/>
        <v>16.693866666666665</v>
      </c>
      <c r="AI19" s="23">
        <f t="shared" si="5"/>
        <v>8.3469333333333324</v>
      </c>
      <c r="AJ19" s="23">
        <f t="shared" si="6"/>
        <v>25.040799999999997</v>
      </c>
      <c r="AK19" s="44"/>
      <c r="AL19" s="30"/>
      <c r="AM19" s="30"/>
      <c r="AN19" s="30"/>
      <c r="AO19" s="24"/>
      <c r="AP19" s="24"/>
      <c r="AQ19" s="24"/>
      <c r="AR19" s="30">
        <v>32.601999999999997</v>
      </c>
      <c r="AS19" s="30"/>
      <c r="AT19" s="30"/>
      <c r="AU19" s="30"/>
      <c r="AV19" s="30"/>
    </row>
    <row r="20" spans="1:48" s="25" customFormat="1" ht="35.25" customHeight="1" collapsed="1" x14ac:dyDescent="0.3">
      <c r="A20" s="26"/>
      <c r="B20" s="49"/>
      <c r="C20" s="16" t="s">
        <v>80</v>
      </c>
      <c r="D20" s="19" t="s">
        <v>81</v>
      </c>
      <c r="E20" s="17">
        <v>41400</v>
      </c>
      <c r="F20" s="18">
        <v>60</v>
      </c>
      <c r="G20" s="17"/>
      <c r="H20" s="43">
        <v>1</v>
      </c>
      <c r="I20" s="28">
        <v>1</v>
      </c>
      <c r="J20" s="28">
        <v>1</v>
      </c>
      <c r="K20" s="28">
        <v>1</v>
      </c>
      <c r="L20" s="28">
        <v>1</v>
      </c>
      <c r="M20" s="18" t="s">
        <v>45</v>
      </c>
      <c r="N20" s="18" t="s">
        <v>45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19" t="s">
        <v>63</v>
      </c>
      <c r="U20" s="20">
        <f t="shared" si="13"/>
        <v>29.437799999999999</v>
      </c>
      <c r="V20" s="20">
        <v>22.788</v>
      </c>
      <c r="W20" s="20">
        <v>6.6497999999999999</v>
      </c>
      <c r="X20" s="20"/>
      <c r="Y20" s="21"/>
      <c r="Z20" s="29">
        <v>22.788</v>
      </c>
      <c r="AA20" s="29">
        <v>6.6497999999999999</v>
      </c>
      <c r="AB20" s="29">
        <v>0</v>
      </c>
      <c r="AC20" s="29">
        <f>IF(SUM(Z20:AB20)=0,"",SUM(Z20:AB20))</f>
        <v>29.437799999999999</v>
      </c>
      <c r="AD20" s="23">
        <f t="shared" si="14"/>
        <v>118.87559999999999</v>
      </c>
      <c r="AE20" s="23">
        <f t="shared" si="1"/>
        <v>92.022405641725939</v>
      </c>
      <c r="AF20" s="23">
        <f t="shared" si="2"/>
        <v>26.853194358274052</v>
      </c>
      <c r="AG20" s="23">
        <f t="shared" si="3"/>
        <v>0</v>
      </c>
      <c r="AH20" s="23">
        <f t="shared" si="4"/>
        <v>15.850079999999998</v>
      </c>
      <c r="AI20" s="23">
        <f t="shared" si="5"/>
        <v>7.9250399999999992</v>
      </c>
      <c r="AJ20" s="23">
        <f t="shared" si="6"/>
        <v>23.775119999999998</v>
      </c>
      <c r="AK20" s="44"/>
      <c r="AL20" s="30"/>
      <c r="AM20" s="30"/>
      <c r="AN20" s="30"/>
      <c r="AO20" s="30"/>
      <c r="AP20" s="24"/>
      <c r="AQ20" s="24"/>
      <c r="AR20" s="30">
        <v>25.9</v>
      </c>
      <c r="AS20" s="30"/>
      <c r="AT20" s="30"/>
      <c r="AU20" s="30"/>
      <c r="AV20" s="30"/>
    </row>
    <row r="21" spans="1:48" s="25" customFormat="1" ht="36" customHeight="1" x14ac:dyDescent="0.3">
      <c r="A21" s="26"/>
      <c r="B21" s="49"/>
      <c r="C21" s="16" t="s">
        <v>82</v>
      </c>
      <c r="D21" s="19" t="s">
        <v>83</v>
      </c>
      <c r="E21" s="17">
        <v>41450</v>
      </c>
      <c r="F21" s="18">
        <v>65</v>
      </c>
      <c r="G21" s="17"/>
      <c r="H21" s="43">
        <v>1</v>
      </c>
      <c r="I21" s="28">
        <v>1</v>
      </c>
      <c r="J21" s="28">
        <v>1</v>
      </c>
      <c r="K21" s="18" t="s">
        <v>45</v>
      </c>
      <c r="L21" s="28">
        <v>1</v>
      </c>
      <c r="M21" s="18" t="s">
        <v>45</v>
      </c>
      <c r="N21" s="18" t="s">
        <v>45</v>
      </c>
      <c r="O21" s="28">
        <v>1</v>
      </c>
      <c r="P21" s="28">
        <v>1</v>
      </c>
      <c r="Q21" s="28">
        <v>1</v>
      </c>
      <c r="R21" s="28">
        <v>1</v>
      </c>
      <c r="S21" s="28">
        <v>1</v>
      </c>
      <c r="T21" s="19" t="s">
        <v>84</v>
      </c>
      <c r="U21" s="20">
        <f t="shared" si="13"/>
        <v>15.14</v>
      </c>
      <c r="V21" s="20">
        <v>15.14</v>
      </c>
      <c r="W21" s="20"/>
      <c r="X21" s="20"/>
      <c r="Y21" s="21"/>
      <c r="Z21" s="29">
        <v>15.14</v>
      </c>
      <c r="AA21" s="29">
        <v>0</v>
      </c>
      <c r="AB21" s="29">
        <v>0</v>
      </c>
      <c r="AC21" s="29">
        <f>IF(SUM(Z21:AB21)=0,"",SUM(Z21:AB21))</f>
        <v>15.14</v>
      </c>
      <c r="AD21" s="23">
        <f>50+(AC21-10)*5</f>
        <v>75.7</v>
      </c>
      <c r="AE21" s="23">
        <f t="shared" si="1"/>
        <v>75.7</v>
      </c>
      <c r="AF21" s="23">
        <f t="shared" si="2"/>
        <v>0</v>
      </c>
      <c r="AG21" s="23">
        <f t="shared" si="3"/>
        <v>0</v>
      </c>
      <c r="AH21" s="23">
        <f t="shared" si="4"/>
        <v>10.093333333333334</v>
      </c>
      <c r="AI21" s="23">
        <f t="shared" si="5"/>
        <v>5.0466666666666669</v>
      </c>
      <c r="AJ21" s="23">
        <f t="shared" si="6"/>
        <v>15.14</v>
      </c>
      <c r="AK21" s="44"/>
      <c r="AL21" s="30"/>
      <c r="AM21" s="30"/>
      <c r="AN21" s="24"/>
      <c r="AO21" s="30"/>
      <c r="AP21" s="24"/>
      <c r="AQ21" s="24"/>
      <c r="AR21" s="30">
        <v>15.14</v>
      </c>
      <c r="AS21" s="30"/>
      <c r="AT21" s="30"/>
      <c r="AU21" s="30"/>
      <c r="AV21" s="30"/>
    </row>
    <row r="22" spans="1:48" s="25" customFormat="1" ht="57.75" customHeight="1" x14ac:dyDescent="0.3">
      <c r="A22" s="26"/>
      <c r="B22" s="53"/>
      <c r="C22" s="16" t="s">
        <v>85</v>
      </c>
      <c r="D22" s="19"/>
      <c r="E22" s="17"/>
      <c r="F22" s="18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20">
        <v>8.57</v>
      </c>
      <c r="V22" s="20"/>
      <c r="W22" s="20"/>
      <c r="X22" s="20"/>
      <c r="Y22" s="21" t="s">
        <v>50</v>
      </c>
      <c r="Z22" s="29"/>
      <c r="AA22" s="29"/>
      <c r="AB22" s="29"/>
      <c r="AC22" s="29"/>
      <c r="AD22" s="23"/>
      <c r="AE22" s="23"/>
      <c r="AF22" s="23"/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 t="s">
        <v>67</v>
      </c>
      <c r="AS22" s="24"/>
      <c r="AT22" s="24"/>
      <c r="AU22" s="24"/>
      <c r="AV22" s="24"/>
    </row>
    <row r="23" spans="1:48" s="25" customFormat="1" ht="21.75" customHeight="1" x14ac:dyDescent="0.3">
      <c r="A23" s="26"/>
      <c r="B23" s="54" t="s">
        <v>86</v>
      </c>
      <c r="C23" s="16" t="s">
        <v>58</v>
      </c>
      <c r="D23" s="19"/>
      <c r="E23" s="17"/>
      <c r="F23" s="18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U23" s="47">
        <v>127.056</v>
      </c>
      <c r="V23" s="20"/>
      <c r="W23" s="20"/>
      <c r="X23" s="20"/>
      <c r="Y23" s="21"/>
      <c r="Z23" s="22">
        <v>80.849999999999994</v>
      </c>
      <c r="AA23" s="22">
        <v>34.65</v>
      </c>
      <c r="AB23" s="22">
        <v>0</v>
      </c>
      <c r="AC23" s="22">
        <f>IF(SUM(Z23:AB23)=0,"",SUM(Z23:AB23))</f>
        <v>115.5</v>
      </c>
      <c r="AD23" s="23">
        <f>160+(AC23-50)*0.8</f>
        <v>212.4</v>
      </c>
      <c r="AE23" s="23">
        <f t="shared" si="1"/>
        <v>148.68</v>
      </c>
      <c r="AF23" s="23">
        <f t="shared" si="2"/>
        <v>63.72</v>
      </c>
      <c r="AG23" s="23">
        <f t="shared" si="3"/>
        <v>0</v>
      </c>
      <c r="AH23" s="23">
        <f t="shared" si="4"/>
        <v>28.32</v>
      </c>
      <c r="AI23" s="23">
        <f t="shared" si="5"/>
        <v>14.16</v>
      </c>
      <c r="AJ23" s="23">
        <f t="shared" si="6"/>
        <v>42.480000000000004</v>
      </c>
      <c r="AK23" s="24"/>
      <c r="AL23" s="24"/>
      <c r="AM23" s="24"/>
      <c r="AN23" s="24"/>
      <c r="AO23" s="24"/>
      <c r="AP23" s="24"/>
      <c r="AQ23" s="24"/>
      <c r="AR23" s="24">
        <v>114.89400000000001</v>
      </c>
      <c r="AS23" s="24"/>
      <c r="AT23" s="24"/>
      <c r="AU23" s="24"/>
      <c r="AV23" s="24"/>
    </row>
    <row r="24" spans="1:48" s="25" customFormat="1" ht="35.25" customHeight="1" x14ac:dyDescent="0.3">
      <c r="A24" s="26"/>
      <c r="B24" s="55"/>
      <c r="C24" s="16" t="s">
        <v>87</v>
      </c>
      <c r="D24" s="19" t="s">
        <v>88</v>
      </c>
      <c r="E24" s="17">
        <v>41746</v>
      </c>
      <c r="F24" s="18">
        <v>92</v>
      </c>
      <c r="G24" s="17"/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18" t="s">
        <v>45</v>
      </c>
      <c r="N24" s="18" t="s">
        <v>45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19" t="s">
        <v>63</v>
      </c>
      <c r="U24" s="20">
        <f t="shared" si="13"/>
        <v>5.4589999999999996</v>
      </c>
      <c r="V24" s="20">
        <v>5.4589999999999996</v>
      </c>
      <c r="W24" s="20">
        <v>0</v>
      </c>
      <c r="X24" s="20">
        <v>0</v>
      </c>
      <c r="Y24" s="21" t="s">
        <v>89</v>
      </c>
      <c r="Z24" s="29">
        <v>5.4589999999999996</v>
      </c>
      <c r="AA24" s="29">
        <v>0</v>
      </c>
      <c r="AB24" s="29">
        <v>0</v>
      </c>
      <c r="AC24" s="29">
        <f>IF(SUM(Z24:AB24)=0,"",SUM(Z24:AB24))</f>
        <v>5.4589999999999996</v>
      </c>
      <c r="AD24" s="23"/>
      <c r="AE24" s="23"/>
      <c r="AF24" s="23"/>
      <c r="AG24" s="23"/>
      <c r="AH24" s="23"/>
      <c r="AI24" s="23"/>
      <c r="AJ24" s="23"/>
      <c r="AK24" s="30"/>
      <c r="AL24" s="30"/>
      <c r="AM24" s="30"/>
      <c r="AN24" s="30"/>
      <c r="AO24" s="30"/>
      <c r="AP24" s="24"/>
      <c r="AQ24" s="24"/>
      <c r="AR24" s="30">
        <v>5.4589999999999996</v>
      </c>
      <c r="AS24" s="30"/>
      <c r="AT24" s="30"/>
      <c r="AU24" s="30"/>
      <c r="AV24" s="30"/>
    </row>
    <row r="25" spans="1:48" s="25" customFormat="1" ht="25.5" customHeight="1" collapsed="1" x14ac:dyDescent="0.3">
      <c r="A25" s="26"/>
      <c r="B25" s="55"/>
      <c r="C25" s="16" t="s">
        <v>90</v>
      </c>
      <c r="D25" s="19"/>
      <c r="E25" s="17"/>
      <c r="F25" s="18"/>
      <c r="G25" s="17">
        <v>42225</v>
      </c>
      <c r="H25" s="28">
        <v>1</v>
      </c>
      <c r="I25" s="28">
        <v>1</v>
      </c>
      <c r="J25" s="28">
        <v>1</v>
      </c>
      <c r="K25" s="28">
        <v>1</v>
      </c>
      <c r="L25" s="18" t="s">
        <v>45</v>
      </c>
      <c r="M25" s="18" t="s">
        <v>45</v>
      </c>
      <c r="N25" s="18" t="s">
        <v>45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19" t="s">
        <v>91</v>
      </c>
      <c r="U25" s="20">
        <f t="shared" si="7"/>
        <v>12.536</v>
      </c>
      <c r="V25" s="20">
        <v>12.536</v>
      </c>
      <c r="W25" s="20">
        <v>0</v>
      </c>
      <c r="X25" s="20">
        <v>0</v>
      </c>
      <c r="Y25" s="21"/>
      <c r="Z25" s="29">
        <v>12.536</v>
      </c>
      <c r="AA25" s="29">
        <v>0</v>
      </c>
      <c r="AB25" s="29">
        <v>0</v>
      </c>
      <c r="AC25" s="29">
        <f>IF(SUM(Z25:AB25)=0,"",SUM(Z25:AB25))</f>
        <v>12.536</v>
      </c>
      <c r="AD25" s="23">
        <f t="shared" ref="AD25:AD26" si="15">50+(AC25-10)*5</f>
        <v>62.68</v>
      </c>
      <c r="AE25" s="23">
        <f t="shared" si="1"/>
        <v>62.68</v>
      </c>
      <c r="AF25" s="23">
        <f t="shared" si="2"/>
        <v>0</v>
      </c>
      <c r="AG25" s="23">
        <f t="shared" si="3"/>
        <v>0</v>
      </c>
      <c r="AH25" s="23">
        <f t="shared" si="4"/>
        <v>8.3573333333333331</v>
      </c>
      <c r="AI25" s="23">
        <f t="shared" si="5"/>
        <v>4.1786666666666665</v>
      </c>
      <c r="AJ25" s="23">
        <f t="shared" si="6"/>
        <v>12.536</v>
      </c>
      <c r="AK25" s="30"/>
      <c r="AL25" s="30"/>
      <c r="AM25" s="30"/>
      <c r="AN25" s="30"/>
      <c r="AO25" s="24"/>
      <c r="AP25" s="24"/>
      <c r="AQ25" s="24"/>
      <c r="AR25" s="30">
        <v>12.536</v>
      </c>
      <c r="AS25" s="30"/>
      <c r="AT25" s="30"/>
      <c r="AU25" s="30"/>
      <c r="AV25" s="30"/>
    </row>
    <row r="26" spans="1:48" s="25" customFormat="1" ht="36" customHeight="1" x14ac:dyDescent="0.3">
      <c r="A26" s="26"/>
      <c r="B26" s="55"/>
      <c r="C26" s="16" t="s">
        <v>92</v>
      </c>
      <c r="D26" s="19"/>
      <c r="E26" s="17"/>
      <c r="F26" s="18"/>
      <c r="G26" s="27">
        <v>42092</v>
      </c>
      <c r="H26" s="28">
        <v>1</v>
      </c>
      <c r="I26" s="28">
        <v>1</v>
      </c>
      <c r="J26" s="28">
        <v>1</v>
      </c>
      <c r="K26" s="28">
        <v>1</v>
      </c>
      <c r="L26" s="18" t="s">
        <v>45</v>
      </c>
      <c r="M26" s="18" t="s">
        <v>45</v>
      </c>
      <c r="N26" s="18" t="s">
        <v>45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19" t="s">
        <v>93</v>
      </c>
      <c r="U26" s="20">
        <f t="shared" si="7"/>
        <v>12.375</v>
      </c>
      <c r="V26" s="20">
        <v>12.375</v>
      </c>
      <c r="W26" s="20">
        <v>0</v>
      </c>
      <c r="X26" s="20">
        <v>0</v>
      </c>
      <c r="Y26" s="21"/>
      <c r="Z26" s="29">
        <v>11.875</v>
      </c>
      <c r="AA26" s="29">
        <v>0.5</v>
      </c>
      <c r="AB26" s="29">
        <v>0</v>
      </c>
      <c r="AC26" s="29">
        <f t="shared" ref="AC26:AC35" si="16">IF(SUM(Z26:AB26)=0,"",SUM(Z26:AB26))</f>
        <v>12.375</v>
      </c>
      <c r="AD26" s="23">
        <f t="shared" si="15"/>
        <v>61.875</v>
      </c>
      <c r="AE26" s="23">
        <f t="shared" si="1"/>
        <v>59.375</v>
      </c>
      <c r="AF26" s="23">
        <f t="shared" si="2"/>
        <v>2.5</v>
      </c>
      <c r="AG26" s="23">
        <f t="shared" si="3"/>
        <v>0</v>
      </c>
      <c r="AH26" s="23">
        <f t="shared" si="4"/>
        <v>8.25</v>
      </c>
      <c r="AI26" s="23">
        <f t="shared" si="5"/>
        <v>4.125</v>
      </c>
      <c r="AJ26" s="23">
        <f t="shared" si="6"/>
        <v>12.375</v>
      </c>
      <c r="AK26" s="30"/>
      <c r="AL26" s="30"/>
      <c r="AM26" s="30"/>
      <c r="AN26" s="30"/>
      <c r="AO26" s="24"/>
      <c r="AP26" s="24"/>
      <c r="AQ26" s="24"/>
      <c r="AR26" s="30">
        <v>12.375</v>
      </c>
      <c r="AS26" s="30"/>
      <c r="AT26" s="30"/>
      <c r="AU26" s="30"/>
      <c r="AV26" s="30"/>
    </row>
    <row r="27" spans="1:48" s="25" customFormat="1" ht="37.5" customHeight="1" x14ac:dyDescent="0.3">
      <c r="A27" s="26"/>
      <c r="B27" s="55"/>
      <c r="C27" s="16" t="s">
        <v>94</v>
      </c>
      <c r="D27" s="19" t="s">
        <v>95</v>
      </c>
      <c r="E27" s="17">
        <v>40862</v>
      </c>
      <c r="F27" s="18">
        <v>25</v>
      </c>
      <c r="G27" s="27"/>
      <c r="H27" s="28">
        <v>1</v>
      </c>
      <c r="I27" s="28">
        <v>1</v>
      </c>
      <c r="J27" s="28">
        <v>1</v>
      </c>
      <c r="K27" s="28">
        <v>1</v>
      </c>
      <c r="L27" s="18" t="s">
        <v>45</v>
      </c>
      <c r="M27" s="18" t="s">
        <v>45</v>
      </c>
      <c r="N27" s="18" t="s">
        <v>45</v>
      </c>
      <c r="O27" s="28">
        <v>1</v>
      </c>
      <c r="P27" s="28">
        <v>1</v>
      </c>
      <c r="Q27" s="28">
        <v>1</v>
      </c>
      <c r="R27" s="28">
        <v>1</v>
      </c>
      <c r="S27" s="28">
        <v>1</v>
      </c>
      <c r="T27" s="19" t="s">
        <v>79</v>
      </c>
      <c r="U27" s="20">
        <f t="shared" si="7"/>
        <v>45.728999999999999</v>
      </c>
      <c r="V27" s="20">
        <v>45.728999999999999</v>
      </c>
      <c r="W27" s="20"/>
      <c r="X27" s="20"/>
      <c r="Y27" s="21"/>
      <c r="Z27" s="29">
        <v>45.728999999999999</v>
      </c>
      <c r="AA27" s="29">
        <v>0</v>
      </c>
      <c r="AB27" s="29">
        <v>0</v>
      </c>
      <c r="AC27" s="29">
        <f t="shared" si="16"/>
        <v>45.728999999999999</v>
      </c>
      <c r="AD27" s="23">
        <f t="shared" ref="AD27:AD28" si="17">100+(AC27-20)*2</f>
        <v>151.458</v>
      </c>
      <c r="AE27" s="23">
        <f t="shared" si="1"/>
        <v>151.458</v>
      </c>
      <c r="AF27" s="23">
        <f t="shared" si="2"/>
        <v>0</v>
      </c>
      <c r="AG27" s="23">
        <f t="shared" si="3"/>
        <v>0</v>
      </c>
      <c r="AH27" s="23">
        <f t="shared" si="4"/>
        <v>20.194399999999998</v>
      </c>
      <c r="AI27" s="23">
        <f t="shared" si="5"/>
        <v>10.097199999999999</v>
      </c>
      <c r="AJ27" s="23">
        <f t="shared" si="6"/>
        <v>30.291599999999999</v>
      </c>
      <c r="AK27" s="30"/>
      <c r="AL27" s="30"/>
      <c r="AM27" s="30"/>
      <c r="AN27" s="30"/>
      <c r="AO27" s="24"/>
      <c r="AP27" s="24"/>
      <c r="AQ27" s="24"/>
      <c r="AR27" s="30">
        <v>45.728999999999999</v>
      </c>
      <c r="AS27" s="30"/>
      <c r="AT27" s="30"/>
      <c r="AU27" s="30"/>
      <c r="AV27" s="30"/>
    </row>
    <row r="28" spans="1:48" s="25" customFormat="1" ht="39.75" customHeight="1" x14ac:dyDescent="0.3">
      <c r="A28" s="26"/>
      <c r="B28" s="55"/>
      <c r="C28" s="16" t="s">
        <v>96</v>
      </c>
      <c r="D28" s="19"/>
      <c r="E28" s="17"/>
      <c r="F28" s="18"/>
      <c r="G28" s="27">
        <v>42092</v>
      </c>
      <c r="H28" s="28">
        <v>1</v>
      </c>
      <c r="I28" s="28">
        <v>1</v>
      </c>
      <c r="J28" s="28">
        <v>1</v>
      </c>
      <c r="K28" s="28">
        <v>1</v>
      </c>
      <c r="L28" s="18" t="s">
        <v>45</v>
      </c>
      <c r="M28" s="18" t="s">
        <v>45</v>
      </c>
      <c r="N28" s="18" t="s">
        <v>45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19" t="s">
        <v>79</v>
      </c>
      <c r="U28" s="20">
        <v>28.756599999999999</v>
      </c>
      <c r="V28" s="20" t="s">
        <v>73</v>
      </c>
      <c r="W28" s="20" t="s">
        <v>73</v>
      </c>
      <c r="X28" s="20"/>
      <c r="Y28" s="21"/>
      <c r="Z28" s="29">
        <v>28.756599999999999</v>
      </c>
      <c r="AA28" s="29">
        <v>0</v>
      </c>
      <c r="AB28" s="29">
        <v>0</v>
      </c>
      <c r="AC28" s="29">
        <f t="shared" si="16"/>
        <v>28.756599999999999</v>
      </c>
      <c r="AD28" s="23">
        <f t="shared" si="17"/>
        <v>117.5132</v>
      </c>
      <c r="AE28" s="23">
        <f t="shared" si="1"/>
        <v>117.5132</v>
      </c>
      <c r="AF28" s="23">
        <f t="shared" si="2"/>
        <v>0</v>
      </c>
      <c r="AG28" s="23">
        <f t="shared" si="3"/>
        <v>0</v>
      </c>
      <c r="AH28" s="23">
        <f t="shared" si="4"/>
        <v>15.668426666666667</v>
      </c>
      <c r="AI28" s="23">
        <f t="shared" si="5"/>
        <v>7.8342133333333335</v>
      </c>
      <c r="AJ28" s="23">
        <f t="shared" si="6"/>
        <v>23.50264</v>
      </c>
      <c r="AK28" s="30"/>
      <c r="AL28" s="30"/>
      <c r="AM28" s="30"/>
      <c r="AN28" s="30"/>
      <c r="AO28" s="24"/>
      <c r="AP28" s="24"/>
      <c r="AQ28" s="24"/>
      <c r="AR28" s="30">
        <v>28.756599999999999</v>
      </c>
      <c r="AS28" s="30"/>
      <c r="AT28" s="30"/>
      <c r="AU28" s="30"/>
      <c r="AV28" s="30"/>
    </row>
    <row r="29" spans="1:48" s="25" customFormat="1" ht="39.75" customHeight="1" x14ac:dyDescent="0.3">
      <c r="A29" s="26"/>
      <c r="B29" s="55"/>
      <c r="C29" s="16" t="s">
        <v>97</v>
      </c>
      <c r="D29" s="19" t="s">
        <v>98</v>
      </c>
      <c r="E29" s="17">
        <v>40715</v>
      </c>
      <c r="F29" s="18">
        <v>13</v>
      </c>
      <c r="G29" s="17"/>
      <c r="H29" s="28">
        <v>1</v>
      </c>
      <c r="I29" s="28">
        <v>1</v>
      </c>
      <c r="J29" s="28">
        <v>1</v>
      </c>
      <c r="K29" s="28">
        <v>1</v>
      </c>
      <c r="L29" s="18" t="s">
        <v>45</v>
      </c>
      <c r="M29" s="18" t="s">
        <v>45</v>
      </c>
      <c r="N29" s="18" t="s">
        <v>45</v>
      </c>
      <c r="O29" s="28">
        <v>1</v>
      </c>
      <c r="P29" s="28">
        <v>1</v>
      </c>
      <c r="Q29" s="28">
        <v>1</v>
      </c>
      <c r="R29" s="28">
        <v>1</v>
      </c>
      <c r="S29" s="28">
        <v>1</v>
      </c>
      <c r="T29" s="19" t="s">
        <v>79</v>
      </c>
      <c r="U29" s="20">
        <f t="shared" si="7"/>
        <v>68.534000000000006</v>
      </c>
      <c r="V29" s="20">
        <v>68.534000000000006</v>
      </c>
      <c r="W29" s="20"/>
      <c r="X29" s="20"/>
      <c r="Y29" s="21"/>
      <c r="Z29" s="29">
        <v>68.534000000000006</v>
      </c>
      <c r="AA29" s="29">
        <v>0</v>
      </c>
      <c r="AB29" s="29">
        <v>0</v>
      </c>
      <c r="AC29" s="29">
        <f t="shared" si="16"/>
        <v>68.534000000000006</v>
      </c>
      <c r="AD29" s="23">
        <f t="shared" ref="AD29:AD30" si="18">160+(AC29-50)*0.8</f>
        <v>174.8272</v>
      </c>
      <c r="AE29" s="23">
        <f t="shared" si="1"/>
        <v>174.8272</v>
      </c>
      <c r="AF29" s="23">
        <f t="shared" si="2"/>
        <v>0</v>
      </c>
      <c r="AG29" s="23">
        <f t="shared" si="3"/>
        <v>0</v>
      </c>
      <c r="AH29" s="23">
        <f t="shared" si="4"/>
        <v>23.310293333333334</v>
      </c>
      <c r="AI29" s="23">
        <f t="shared" si="5"/>
        <v>11.655146666666667</v>
      </c>
      <c r="AJ29" s="23">
        <f t="shared" si="6"/>
        <v>34.965440000000001</v>
      </c>
      <c r="AK29" s="30"/>
      <c r="AL29" s="30"/>
      <c r="AM29" s="30"/>
      <c r="AN29" s="30"/>
      <c r="AO29" s="24"/>
      <c r="AP29" s="24"/>
      <c r="AQ29" s="24"/>
      <c r="AR29" s="30">
        <v>68.534000000000006</v>
      </c>
      <c r="AS29" s="30"/>
      <c r="AT29" s="30"/>
      <c r="AU29" s="30"/>
      <c r="AV29" s="30"/>
    </row>
    <row r="30" spans="1:48" s="25" customFormat="1" ht="38.25" customHeight="1" x14ac:dyDescent="0.3">
      <c r="A30" s="26"/>
      <c r="B30" s="55"/>
      <c r="C30" s="16" t="s">
        <v>99</v>
      </c>
      <c r="D30" s="19" t="s">
        <v>100</v>
      </c>
      <c r="E30" s="17">
        <v>41409</v>
      </c>
      <c r="F30" s="18">
        <v>15</v>
      </c>
      <c r="G30" s="17"/>
      <c r="H30" s="28">
        <v>1</v>
      </c>
      <c r="I30" s="28">
        <v>1</v>
      </c>
      <c r="J30" s="28">
        <v>1</v>
      </c>
      <c r="K30" s="28">
        <v>1</v>
      </c>
      <c r="L30" s="18" t="s">
        <v>45</v>
      </c>
      <c r="M30" s="18" t="s">
        <v>45</v>
      </c>
      <c r="N30" s="18" t="s">
        <v>45</v>
      </c>
      <c r="O30" s="28">
        <v>1</v>
      </c>
      <c r="P30" s="28">
        <v>1</v>
      </c>
      <c r="Q30" s="28">
        <v>1</v>
      </c>
      <c r="R30" s="28">
        <v>1</v>
      </c>
      <c r="S30" s="18" t="s">
        <v>45</v>
      </c>
      <c r="T30" s="19" t="s">
        <v>101</v>
      </c>
      <c r="U30" s="20">
        <f t="shared" si="7"/>
        <v>66.805000000000007</v>
      </c>
      <c r="V30" s="20">
        <v>66.805000000000007</v>
      </c>
      <c r="W30" s="20"/>
      <c r="X30" s="20"/>
      <c r="Y30" s="21"/>
      <c r="Z30" s="50">
        <v>66.805000000000007</v>
      </c>
      <c r="AA30" s="50">
        <v>0</v>
      </c>
      <c r="AB30" s="50">
        <v>0</v>
      </c>
      <c r="AC30" s="50">
        <f>IF(SUM(Z30:AB30)=0,"",SUM(Z30:AB30))</f>
        <v>66.805000000000007</v>
      </c>
      <c r="AD30" s="23">
        <f t="shared" si="18"/>
        <v>173.44400000000002</v>
      </c>
      <c r="AE30" s="23">
        <f t="shared" si="1"/>
        <v>173.44400000000002</v>
      </c>
      <c r="AF30" s="23">
        <f t="shared" si="2"/>
        <v>0</v>
      </c>
      <c r="AG30" s="23">
        <f t="shared" si="3"/>
        <v>0</v>
      </c>
      <c r="AH30" s="23">
        <f t="shared" si="4"/>
        <v>23.125866666666667</v>
      </c>
      <c r="AI30" s="23">
        <f t="shared" si="5"/>
        <v>11.562933333333335</v>
      </c>
      <c r="AJ30" s="23">
        <f t="shared" si="6"/>
        <v>34.688800000000001</v>
      </c>
      <c r="AK30" s="30"/>
      <c r="AL30" s="30"/>
      <c r="AM30" s="30"/>
      <c r="AN30" s="30"/>
      <c r="AO30" s="24"/>
      <c r="AP30" s="24"/>
      <c r="AQ30" s="24"/>
      <c r="AR30" s="30">
        <v>64.5</v>
      </c>
      <c r="AS30" s="30"/>
      <c r="AT30" s="30"/>
      <c r="AU30" s="30"/>
      <c r="AV30" s="24"/>
    </row>
    <row r="31" spans="1:48" s="25" customFormat="1" ht="56.25" customHeight="1" x14ac:dyDescent="0.3">
      <c r="A31" s="26"/>
      <c r="B31" s="55"/>
      <c r="C31" s="16" t="s">
        <v>102</v>
      </c>
      <c r="D31" s="19" t="s">
        <v>103</v>
      </c>
      <c r="E31" s="17">
        <v>40651</v>
      </c>
      <c r="F31" s="18">
        <v>5</v>
      </c>
      <c r="G31" s="17"/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18" t="s">
        <v>45</v>
      </c>
      <c r="N31" s="18" t="s">
        <v>45</v>
      </c>
      <c r="O31" s="28">
        <v>1</v>
      </c>
      <c r="P31" s="28">
        <v>1</v>
      </c>
      <c r="Q31" s="28">
        <v>1</v>
      </c>
      <c r="R31" s="28">
        <v>1</v>
      </c>
      <c r="S31" s="18" t="s">
        <v>45</v>
      </c>
      <c r="T31" s="19" t="s">
        <v>104</v>
      </c>
      <c r="U31" s="20">
        <f t="shared" si="7"/>
        <v>26.928000000000001</v>
      </c>
      <c r="V31" s="20">
        <v>26.928000000000001</v>
      </c>
      <c r="W31" s="20"/>
      <c r="X31" s="20"/>
      <c r="Y31" s="21"/>
      <c r="Z31" s="29">
        <v>26.928000000000001</v>
      </c>
      <c r="AA31" s="29">
        <v>0</v>
      </c>
      <c r="AB31" s="29">
        <v>0</v>
      </c>
      <c r="AC31" s="29">
        <f t="shared" si="16"/>
        <v>26.928000000000001</v>
      </c>
      <c r="AD31" s="23">
        <f>100+(AC31-20)*2</f>
        <v>113.85599999999999</v>
      </c>
      <c r="AE31" s="23">
        <f t="shared" si="1"/>
        <v>113.85599999999998</v>
      </c>
      <c r="AF31" s="23">
        <f t="shared" si="2"/>
        <v>0</v>
      </c>
      <c r="AG31" s="23">
        <f t="shared" si="3"/>
        <v>0</v>
      </c>
      <c r="AH31" s="23">
        <f t="shared" si="4"/>
        <v>15.1808</v>
      </c>
      <c r="AI31" s="23">
        <f t="shared" si="5"/>
        <v>7.5903999999999998</v>
      </c>
      <c r="AJ31" s="23">
        <f t="shared" si="6"/>
        <v>22.7712</v>
      </c>
      <c r="AK31" s="30"/>
      <c r="AL31" s="30"/>
      <c r="AM31" s="30"/>
      <c r="AN31" s="30"/>
      <c r="AO31" s="30"/>
      <c r="AP31" s="24"/>
      <c r="AQ31" s="24"/>
      <c r="AR31" s="30">
        <v>26.928000000000001</v>
      </c>
      <c r="AS31" s="30"/>
      <c r="AT31" s="30"/>
      <c r="AU31" s="30"/>
      <c r="AV31" s="24"/>
    </row>
    <row r="32" spans="1:48" s="25" customFormat="1" ht="36.75" customHeight="1" x14ac:dyDescent="0.3">
      <c r="A32" s="26"/>
      <c r="B32" s="55"/>
      <c r="C32" s="16" t="s">
        <v>105</v>
      </c>
      <c r="D32" s="19" t="s">
        <v>106</v>
      </c>
      <c r="E32" s="17">
        <v>40835</v>
      </c>
      <c r="F32" s="18">
        <v>23</v>
      </c>
      <c r="G32" s="17"/>
      <c r="H32" s="28">
        <v>1</v>
      </c>
      <c r="I32" s="28">
        <v>1</v>
      </c>
      <c r="J32" s="28">
        <v>1</v>
      </c>
      <c r="K32" s="28">
        <v>1</v>
      </c>
      <c r="L32" s="18" t="s">
        <v>45</v>
      </c>
      <c r="M32" s="18" t="s">
        <v>45</v>
      </c>
      <c r="N32" s="18" t="s">
        <v>45</v>
      </c>
      <c r="O32" s="28">
        <v>1</v>
      </c>
      <c r="P32" s="28">
        <v>1</v>
      </c>
      <c r="Q32" s="28">
        <v>1</v>
      </c>
      <c r="R32" s="28">
        <v>1</v>
      </c>
      <c r="S32" s="18" t="s">
        <v>45</v>
      </c>
      <c r="T32" s="19" t="s">
        <v>101</v>
      </c>
      <c r="U32" s="20">
        <f t="shared" si="7"/>
        <v>13.566000000000001</v>
      </c>
      <c r="V32" s="20">
        <v>13.566000000000001</v>
      </c>
      <c r="W32" s="20"/>
      <c r="X32" s="20"/>
      <c r="Y32" s="21"/>
      <c r="Z32" s="29">
        <v>13.566000000000001</v>
      </c>
      <c r="AA32" s="29">
        <v>0</v>
      </c>
      <c r="AB32" s="29">
        <v>0</v>
      </c>
      <c r="AC32" s="29">
        <f t="shared" si="16"/>
        <v>13.566000000000001</v>
      </c>
      <c r="AD32" s="23">
        <f>50+(AC32-10)*5</f>
        <v>67.830000000000013</v>
      </c>
      <c r="AE32" s="23">
        <f t="shared" si="1"/>
        <v>67.830000000000013</v>
      </c>
      <c r="AF32" s="23">
        <f t="shared" si="2"/>
        <v>0</v>
      </c>
      <c r="AG32" s="23">
        <f t="shared" si="3"/>
        <v>0</v>
      </c>
      <c r="AH32" s="23">
        <f t="shared" si="4"/>
        <v>9.0440000000000023</v>
      </c>
      <c r="AI32" s="23">
        <f t="shared" si="5"/>
        <v>4.5220000000000011</v>
      </c>
      <c r="AJ32" s="23">
        <f t="shared" si="6"/>
        <v>13.566000000000003</v>
      </c>
      <c r="AK32" s="30"/>
      <c r="AL32" s="30"/>
      <c r="AM32" s="30"/>
      <c r="AN32" s="30"/>
      <c r="AO32" s="24"/>
      <c r="AP32" s="24"/>
      <c r="AQ32" s="24"/>
      <c r="AR32" s="30">
        <v>13.566000000000001</v>
      </c>
      <c r="AS32" s="30"/>
      <c r="AT32" s="30"/>
      <c r="AU32" s="30"/>
      <c r="AV32" s="24"/>
    </row>
    <row r="33" spans="1:48" s="25" customFormat="1" ht="36.75" customHeight="1" x14ac:dyDescent="0.3">
      <c r="A33" s="26"/>
      <c r="B33" s="55"/>
      <c r="C33" s="16" t="s">
        <v>107</v>
      </c>
      <c r="D33" s="19"/>
      <c r="E33" s="17">
        <v>40571</v>
      </c>
      <c r="F33" s="18">
        <v>3</v>
      </c>
      <c r="G33" s="17"/>
      <c r="H33" s="28">
        <v>1</v>
      </c>
      <c r="I33" s="28">
        <v>1</v>
      </c>
      <c r="J33" s="28">
        <v>1</v>
      </c>
      <c r="K33" s="18" t="s">
        <v>45</v>
      </c>
      <c r="L33" s="18" t="s">
        <v>45</v>
      </c>
      <c r="M33" s="18" t="s">
        <v>45</v>
      </c>
      <c r="N33" s="18" t="s">
        <v>45</v>
      </c>
      <c r="O33" s="28">
        <v>1</v>
      </c>
      <c r="P33" s="28">
        <v>1</v>
      </c>
      <c r="Q33" s="28">
        <v>1</v>
      </c>
      <c r="R33" s="28">
        <v>1</v>
      </c>
      <c r="S33" s="28">
        <v>1</v>
      </c>
      <c r="T33" s="19" t="s">
        <v>108</v>
      </c>
      <c r="U33" s="20">
        <f t="shared" si="7"/>
        <v>5.2220000000000004</v>
      </c>
      <c r="V33" s="20">
        <v>5.2220000000000004</v>
      </c>
      <c r="W33" s="20"/>
      <c r="X33" s="20"/>
      <c r="Y33" s="21"/>
      <c r="Z33" s="29">
        <v>3.72</v>
      </c>
      <c r="AA33" s="29">
        <v>1.5</v>
      </c>
      <c r="AB33" s="29">
        <v>0</v>
      </c>
      <c r="AC33" s="29">
        <f t="shared" si="16"/>
        <v>5.2200000000000006</v>
      </c>
      <c r="AD33" s="23"/>
      <c r="AE33" s="23"/>
      <c r="AF33" s="23"/>
      <c r="AG33" s="23"/>
      <c r="AH33" s="23"/>
      <c r="AI33" s="23"/>
      <c r="AJ33" s="23"/>
      <c r="AK33" s="30"/>
      <c r="AL33" s="30"/>
      <c r="AM33" s="30"/>
      <c r="AN33" s="24"/>
      <c r="AO33" s="24"/>
      <c r="AP33" s="24"/>
      <c r="AQ33" s="24"/>
      <c r="AR33" s="30">
        <v>5.2220000000000004</v>
      </c>
      <c r="AS33" s="30"/>
      <c r="AT33" s="30"/>
      <c r="AU33" s="30"/>
      <c r="AV33" s="30"/>
    </row>
    <row r="34" spans="1:48" s="25" customFormat="1" ht="36" customHeight="1" x14ac:dyDescent="0.3">
      <c r="A34" s="26"/>
      <c r="B34" s="55"/>
      <c r="C34" s="16" t="s">
        <v>109</v>
      </c>
      <c r="D34" s="19"/>
      <c r="E34" s="17">
        <v>41766</v>
      </c>
      <c r="F34" s="18">
        <v>93</v>
      </c>
      <c r="G34" s="17"/>
      <c r="H34" s="28">
        <v>1</v>
      </c>
      <c r="I34" s="28">
        <v>1</v>
      </c>
      <c r="J34" s="28">
        <v>1</v>
      </c>
      <c r="K34" s="28">
        <v>1</v>
      </c>
      <c r="L34" s="18" t="s">
        <v>45</v>
      </c>
      <c r="M34" s="18" t="s">
        <v>45</v>
      </c>
      <c r="N34" s="18" t="s">
        <v>45</v>
      </c>
      <c r="O34" s="28">
        <v>1</v>
      </c>
      <c r="P34" s="18" t="s">
        <v>45</v>
      </c>
      <c r="Q34" s="28">
        <v>1</v>
      </c>
      <c r="R34" s="28">
        <v>1</v>
      </c>
      <c r="S34" s="18" t="s">
        <v>45</v>
      </c>
      <c r="T34" s="19" t="s">
        <v>110</v>
      </c>
      <c r="U34" s="20">
        <f t="shared" si="7"/>
        <v>9.5340000000000007</v>
      </c>
      <c r="V34" s="20">
        <v>9.5340000000000007</v>
      </c>
      <c r="W34" s="20"/>
      <c r="X34" s="20"/>
      <c r="Y34" s="21"/>
      <c r="Z34" s="29">
        <v>9.5340000000000007</v>
      </c>
      <c r="AA34" s="29">
        <v>0</v>
      </c>
      <c r="AB34" s="29">
        <v>0</v>
      </c>
      <c r="AC34" s="29">
        <f t="shared" si="16"/>
        <v>9.5340000000000007</v>
      </c>
      <c r="AD34" s="23"/>
      <c r="AE34" s="23"/>
      <c r="AF34" s="23"/>
      <c r="AG34" s="23"/>
      <c r="AH34" s="23"/>
      <c r="AI34" s="23"/>
      <c r="AJ34" s="23"/>
      <c r="AK34" s="30"/>
      <c r="AL34" s="30"/>
      <c r="AM34" s="30"/>
      <c r="AN34" s="30"/>
      <c r="AO34" s="24"/>
      <c r="AP34" s="24"/>
      <c r="AQ34" s="24"/>
      <c r="AR34" s="30">
        <v>9.5340000000000007</v>
      </c>
      <c r="AS34" s="24"/>
      <c r="AT34" s="30"/>
      <c r="AU34" s="30"/>
      <c r="AV34" s="24"/>
    </row>
    <row r="35" spans="1:48" s="25" customFormat="1" ht="38.25" customHeight="1" x14ac:dyDescent="0.3">
      <c r="A35" s="26"/>
      <c r="B35" s="56"/>
      <c r="C35" s="16" t="s">
        <v>111</v>
      </c>
      <c r="D35" s="19"/>
      <c r="E35" s="17"/>
      <c r="F35" s="18"/>
      <c r="G35" s="27">
        <v>42092</v>
      </c>
      <c r="H35" s="28">
        <v>1</v>
      </c>
      <c r="I35" s="28">
        <v>1</v>
      </c>
      <c r="J35" s="28">
        <v>1</v>
      </c>
      <c r="K35" s="28">
        <v>1</v>
      </c>
      <c r="L35" s="18" t="s">
        <v>45</v>
      </c>
      <c r="M35" s="18" t="s">
        <v>45</v>
      </c>
      <c r="N35" s="18" t="s">
        <v>45</v>
      </c>
      <c r="O35" s="28">
        <v>1</v>
      </c>
      <c r="P35" s="18" t="s">
        <v>45</v>
      </c>
      <c r="Q35" s="28">
        <v>1</v>
      </c>
      <c r="R35" s="28">
        <v>1</v>
      </c>
      <c r="S35" s="28">
        <v>1</v>
      </c>
      <c r="T35" s="19" t="s">
        <v>112</v>
      </c>
      <c r="U35" s="20">
        <f t="shared" si="7"/>
        <v>8.1289999999999996</v>
      </c>
      <c r="V35" s="20">
        <v>8.1289999999999996</v>
      </c>
      <c r="W35" s="20"/>
      <c r="X35" s="20"/>
      <c r="Y35" s="21" t="s">
        <v>113</v>
      </c>
      <c r="Z35" s="29">
        <v>8.1289999999999996</v>
      </c>
      <c r="AA35" s="29">
        <v>0</v>
      </c>
      <c r="AB35" s="29">
        <v>0</v>
      </c>
      <c r="AC35" s="29">
        <f t="shared" si="16"/>
        <v>8.1289999999999996</v>
      </c>
      <c r="AD35" s="23"/>
      <c r="AE35" s="23"/>
      <c r="AF35" s="23"/>
      <c r="AG35" s="23"/>
      <c r="AH35" s="23"/>
      <c r="AI35" s="23"/>
      <c r="AJ35" s="23"/>
      <c r="AK35" s="30"/>
      <c r="AL35" s="30"/>
      <c r="AM35" s="30"/>
      <c r="AN35" s="30"/>
      <c r="AO35" s="24"/>
      <c r="AP35" s="24"/>
      <c r="AQ35" s="24"/>
      <c r="AR35" s="30">
        <v>8.1289999999999996</v>
      </c>
      <c r="AS35" s="24"/>
      <c r="AT35" s="30"/>
      <c r="AU35" s="30"/>
      <c r="AV35" s="30"/>
    </row>
    <row r="36" spans="1:48" s="42" customFormat="1" x14ac:dyDescent="0.3">
      <c r="A36" s="31"/>
      <c r="B36" s="57"/>
      <c r="C36" s="32" t="s">
        <v>52</v>
      </c>
      <c r="D36" s="33"/>
      <c r="E36" s="34"/>
      <c r="F36" s="35"/>
      <c r="G36" s="36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3"/>
      <c r="U36" s="45">
        <f t="shared" ref="U36:AC36" si="19">SUM(U13:U35)</f>
        <v>813.03139999999996</v>
      </c>
      <c r="V36" s="45">
        <f t="shared" si="19"/>
        <v>432.56999999999994</v>
      </c>
      <c r="W36" s="45">
        <f t="shared" si="19"/>
        <v>125.71980000000001</v>
      </c>
      <c r="X36" s="45">
        <f t="shared" si="19"/>
        <v>0</v>
      </c>
      <c r="Y36" s="38">
        <f t="shared" si="19"/>
        <v>882.1</v>
      </c>
      <c r="Z36" s="39">
        <f t="shared" si="19"/>
        <v>598.97460000000012</v>
      </c>
      <c r="AA36" s="39">
        <f t="shared" si="19"/>
        <v>217.13980000000004</v>
      </c>
      <c r="AB36" s="39">
        <f t="shared" si="19"/>
        <v>0.9</v>
      </c>
      <c r="AC36" s="39">
        <f t="shared" si="19"/>
        <v>817.01439999999991</v>
      </c>
      <c r="AD36" s="40">
        <f>280+(AC36-200)*0.1</f>
        <v>341.70143999999999</v>
      </c>
      <c r="AE36" s="40">
        <f t="shared" si="1"/>
        <v>250.51025213683388</v>
      </c>
      <c r="AF36" s="40">
        <f t="shared" si="2"/>
        <v>90.81477920255999</v>
      </c>
      <c r="AG36" s="40">
        <f t="shared" si="3"/>
        <v>0.3764086606062268</v>
      </c>
      <c r="AH36" s="40">
        <f t="shared" si="4"/>
        <v>45.560192000000001</v>
      </c>
      <c r="AI36" s="40">
        <f t="shared" si="5"/>
        <v>22.780096</v>
      </c>
      <c r="AJ36" s="40">
        <f t="shared" si="6"/>
        <v>68.340288000000001</v>
      </c>
      <c r="AK36" s="41"/>
      <c r="AL36" s="41"/>
      <c r="AM36" s="41"/>
      <c r="AN36" s="41"/>
      <c r="AO36" s="41"/>
      <c r="AP36" s="41"/>
      <c r="AQ36" s="41"/>
      <c r="AR36" s="41">
        <v>631.07659999999998</v>
      </c>
      <c r="AS36" s="41"/>
      <c r="AT36" s="41"/>
      <c r="AU36" s="41"/>
      <c r="AV36" s="41"/>
    </row>
    <row r="37" spans="1:48" s="25" customFormat="1" ht="19.5" customHeight="1" x14ac:dyDescent="0.3">
      <c r="A37" s="15">
        <v>4</v>
      </c>
      <c r="B37" s="15" t="s">
        <v>114</v>
      </c>
      <c r="C37" s="16" t="s">
        <v>43</v>
      </c>
      <c r="D37" s="19"/>
      <c r="E37" s="17"/>
      <c r="F37" s="18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20">
        <v>51.4</v>
      </c>
      <c r="V37" s="20"/>
      <c r="W37" s="20"/>
      <c r="X37" s="20"/>
      <c r="Y37" s="21">
        <v>216.8</v>
      </c>
      <c r="Z37" s="58">
        <v>39.9</v>
      </c>
      <c r="AA37" s="58">
        <v>14.3</v>
      </c>
      <c r="AB37" s="58">
        <v>0</v>
      </c>
      <c r="AC37" s="58">
        <f t="shared" ref="AC37:AC56" si="20">IF(SUM(Z37:AB37)=0,"",SUM(Z37:AB37))</f>
        <v>54.2</v>
      </c>
      <c r="AD37" s="23">
        <f t="shared" ref="AD37:AD38" si="21">160+(AC37-50)*0.8</f>
        <v>163.36000000000001</v>
      </c>
      <c r="AE37" s="23">
        <f t="shared" si="1"/>
        <v>120.25948339483395</v>
      </c>
      <c r="AF37" s="23">
        <f t="shared" si="2"/>
        <v>43.100516605166057</v>
      </c>
      <c r="AG37" s="23">
        <f t="shared" si="3"/>
        <v>0</v>
      </c>
      <c r="AH37" s="23">
        <f t="shared" si="4"/>
        <v>21.781333333333336</v>
      </c>
      <c r="AI37" s="23">
        <f t="shared" si="5"/>
        <v>10.890666666666668</v>
      </c>
      <c r="AJ37" s="23">
        <f t="shared" si="6"/>
        <v>32.672000000000004</v>
      </c>
      <c r="AK37" s="24"/>
      <c r="AL37" s="24"/>
      <c r="AM37" s="24"/>
      <c r="AN37" s="24"/>
      <c r="AO37" s="24"/>
      <c r="AP37" s="24"/>
      <c r="AQ37" s="24"/>
      <c r="AR37" s="24">
        <v>51.4</v>
      </c>
      <c r="AS37" s="24"/>
      <c r="AT37" s="24"/>
      <c r="AU37" s="24"/>
      <c r="AV37" s="24"/>
    </row>
    <row r="38" spans="1:48" s="25" customFormat="1" ht="54.75" customHeight="1" x14ac:dyDescent="0.3">
      <c r="A38" s="26">
        <v>31</v>
      </c>
      <c r="B38" s="26"/>
      <c r="C38" s="16" t="s">
        <v>115</v>
      </c>
      <c r="D38" s="19" t="s">
        <v>116</v>
      </c>
      <c r="E38" s="17">
        <v>40501</v>
      </c>
      <c r="F38" s="18">
        <v>1</v>
      </c>
      <c r="G38" s="17"/>
      <c r="H38" s="28">
        <v>1</v>
      </c>
      <c r="I38" s="28">
        <v>1</v>
      </c>
      <c r="J38" s="28">
        <v>1</v>
      </c>
      <c r="K38" s="28">
        <v>1</v>
      </c>
      <c r="L38" s="28">
        <v>1</v>
      </c>
      <c r="M38" s="18" t="s">
        <v>45</v>
      </c>
      <c r="N38" s="18" t="s">
        <v>45</v>
      </c>
      <c r="O38" s="28">
        <v>1</v>
      </c>
      <c r="P38" s="28">
        <v>1</v>
      </c>
      <c r="Q38" s="28">
        <v>1</v>
      </c>
      <c r="R38" s="28">
        <v>1</v>
      </c>
      <c r="S38" s="28">
        <v>1</v>
      </c>
      <c r="T38" s="19" t="s">
        <v>117</v>
      </c>
      <c r="U38" s="20">
        <f t="shared" si="7"/>
        <v>68.433000000000007</v>
      </c>
      <c r="V38" s="20">
        <v>68.433000000000007</v>
      </c>
      <c r="W38" s="20"/>
      <c r="X38" s="20"/>
      <c r="Y38" s="21" t="s">
        <v>118</v>
      </c>
      <c r="Z38" s="58">
        <v>68.433000000000007</v>
      </c>
      <c r="AA38" s="58">
        <v>0</v>
      </c>
      <c r="AB38" s="58">
        <v>0</v>
      </c>
      <c r="AC38" s="58">
        <f t="shared" si="20"/>
        <v>68.433000000000007</v>
      </c>
      <c r="AD38" s="23">
        <f t="shared" si="21"/>
        <v>174.74639999999999</v>
      </c>
      <c r="AE38" s="23">
        <f t="shared" si="1"/>
        <v>174.74639999999999</v>
      </c>
      <c r="AF38" s="23">
        <f t="shared" si="2"/>
        <v>0</v>
      </c>
      <c r="AG38" s="23">
        <f t="shared" si="3"/>
        <v>0</v>
      </c>
      <c r="AH38" s="23">
        <f t="shared" si="4"/>
        <v>23.299520000000001</v>
      </c>
      <c r="AI38" s="23">
        <f t="shared" si="5"/>
        <v>11.649759999999999</v>
      </c>
      <c r="AJ38" s="23">
        <f t="shared" si="6"/>
        <v>34.949280000000002</v>
      </c>
      <c r="AK38" s="30"/>
      <c r="AL38" s="30"/>
      <c r="AM38" s="30"/>
      <c r="AN38" s="30"/>
      <c r="AO38" s="30"/>
      <c r="AP38" s="24"/>
      <c r="AQ38" s="24"/>
      <c r="AR38" s="30">
        <v>65</v>
      </c>
      <c r="AS38" s="30"/>
      <c r="AT38" s="30"/>
      <c r="AU38" s="30"/>
      <c r="AV38" s="30"/>
    </row>
    <row r="39" spans="1:48" s="25" customFormat="1" ht="53.25" customHeight="1" x14ac:dyDescent="0.3">
      <c r="A39" s="26">
        <v>32</v>
      </c>
      <c r="B39" s="26"/>
      <c r="C39" s="16" t="s">
        <v>119</v>
      </c>
      <c r="D39" s="19" t="s">
        <v>120</v>
      </c>
      <c r="E39" s="17">
        <v>40780</v>
      </c>
      <c r="F39" s="18">
        <v>20</v>
      </c>
      <c r="G39" s="17"/>
      <c r="H39" s="28">
        <v>1</v>
      </c>
      <c r="I39" s="28">
        <v>1</v>
      </c>
      <c r="J39" s="28">
        <v>1</v>
      </c>
      <c r="K39" s="28">
        <v>1</v>
      </c>
      <c r="L39" s="18" t="s">
        <v>45</v>
      </c>
      <c r="M39" s="18" t="s">
        <v>45</v>
      </c>
      <c r="N39" s="18" t="s">
        <v>45</v>
      </c>
      <c r="O39" s="28">
        <v>1</v>
      </c>
      <c r="P39" s="28">
        <v>1</v>
      </c>
      <c r="Q39" s="28">
        <v>1</v>
      </c>
      <c r="R39" s="18" t="s">
        <v>45</v>
      </c>
      <c r="S39" s="18" t="s">
        <v>45</v>
      </c>
      <c r="T39" s="19" t="s">
        <v>121</v>
      </c>
      <c r="U39" s="20">
        <f t="shared" si="7"/>
        <v>25.635000000000002</v>
      </c>
      <c r="V39" s="20">
        <v>25.635000000000002</v>
      </c>
      <c r="W39" s="20"/>
      <c r="X39" s="20"/>
      <c r="Y39" s="21"/>
      <c r="Z39" s="29">
        <v>25.635000000000002</v>
      </c>
      <c r="AA39" s="29">
        <v>0</v>
      </c>
      <c r="AB39" s="29">
        <v>0</v>
      </c>
      <c r="AC39" s="29">
        <f t="shared" si="20"/>
        <v>25.635000000000002</v>
      </c>
      <c r="AD39" s="23">
        <f t="shared" ref="AD39:AD40" si="22">100+(AC39-20)*2</f>
        <v>111.27000000000001</v>
      </c>
      <c r="AE39" s="23">
        <f t="shared" si="1"/>
        <v>111.27000000000001</v>
      </c>
      <c r="AF39" s="23">
        <f t="shared" si="2"/>
        <v>0</v>
      </c>
      <c r="AG39" s="23">
        <f t="shared" si="3"/>
        <v>0</v>
      </c>
      <c r="AH39" s="23">
        <f t="shared" si="4"/>
        <v>14.836000000000002</v>
      </c>
      <c r="AI39" s="23">
        <f t="shared" si="5"/>
        <v>7.418000000000001</v>
      </c>
      <c r="AJ39" s="23">
        <f t="shared" si="6"/>
        <v>22.254000000000001</v>
      </c>
      <c r="AK39" s="30"/>
      <c r="AL39" s="30"/>
      <c r="AM39" s="30"/>
      <c r="AN39" s="30"/>
      <c r="AO39" s="24"/>
      <c r="AP39" s="24"/>
      <c r="AQ39" s="24"/>
      <c r="AR39" s="30">
        <v>25.635000000000002</v>
      </c>
      <c r="AS39" s="30"/>
      <c r="AT39" s="30"/>
      <c r="AU39" s="24"/>
      <c r="AV39" s="24"/>
    </row>
    <row r="40" spans="1:48" s="25" customFormat="1" ht="56.25" customHeight="1" collapsed="1" x14ac:dyDescent="0.3">
      <c r="A40" s="26">
        <v>33</v>
      </c>
      <c r="B40" s="26"/>
      <c r="C40" s="16" t="s">
        <v>85</v>
      </c>
      <c r="D40" s="19" t="s">
        <v>122</v>
      </c>
      <c r="E40" s="17">
        <v>41730</v>
      </c>
      <c r="F40" s="18">
        <v>90</v>
      </c>
      <c r="G40" s="17"/>
      <c r="H40" s="28">
        <v>1</v>
      </c>
      <c r="I40" s="28">
        <v>1</v>
      </c>
      <c r="J40" s="28">
        <v>1</v>
      </c>
      <c r="K40" s="28">
        <v>1</v>
      </c>
      <c r="L40" s="28">
        <v>1</v>
      </c>
      <c r="M40" s="18" t="s">
        <v>45</v>
      </c>
      <c r="N40" s="18" t="s">
        <v>45</v>
      </c>
      <c r="O40" s="28">
        <v>1</v>
      </c>
      <c r="P40" s="28">
        <v>1</v>
      </c>
      <c r="Q40" s="28">
        <v>1</v>
      </c>
      <c r="R40" s="28">
        <v>1</v>
      </c>
      <c r="S40" s="28">
        <v>1</v>
      </c>
      <c r="T40" s="19" t="s">
        <v>63</v>
      </c>
      <c r="U40" s="20">
        <f t="shared" si="7"/>
        <v>43.332000000000001</v>
      </c>
      <c r="V40" s="20">
        <v>43.332000000000001</v>
      </c>
      <c r="W40" s="20"/>
      <c r="X40" s="20"/>
      <c r="Y40" s="21"/>
      <c r="Z40" s="29">
        <v>43.332000000000001</v>
      </c>
      <c r="AA40" s="29">
        <v>0</v>
      </c>
      <c r="AB40" s="29">
        <v>0</v>
      </c>
      <c r="AC40" s="29">
        <f t="shared" si="20"/>
        <v>43.332000000000001</v>
      </c>
      <c r="AD40" s="23">
        <f t="shared" si="22"/>
        <v>146.66399999999999</v>
      </c>
      <c r="AE40" s="23">
        <f t="shared" si="1"/>
        <v>146.66399999999999</v>
      </c>
      <c r="AF40" s="23">
        <f t="shared" si="2"/>
        <v>0</v>
      </c>
      <c r="AG40" s="23">
        <f t="shared" si="3"/>
        <v>0</v>
      </c>
      <c r="AH40" s="23">
        <f t="shared" si="4"/>
        <v>19.555199999999999</v>
      </c>
      <c r="AI40" s="23">
        <f t="shared" si="5"/>
        <v>9.7775999999999996</v>
      </c>
      <c r="AJ40" s="23">
        <f t="shared" si="6"/>
        <v>29.332799999999999</v>
      </c>
      <c r="AK40" s="30"/>
      <c r="AL40" s="30"/>
      <c r="AM40" s="30"/>
      <c r="AN40" s="30"/>
      <c r="AO40" s="30"/>
      <c r="AP40" s="24"/>
      <c r="AQ40" s="24"/>
      <c r="AR40" s="30">
        <v>43.332000000000001</v>
      </c>
      <c r="AS40" s="30"/>
      <c r="AT40" s="30"/>
      <c r="AU40" s="30"/>
      <c r="AV40" s="30"/>
    </row>
    <row r="41" spans="1:48" s="25" customFormat="1" ht="39.75" customHeight="1" x14ac:dyDescent="0.3">
      <c r="A41" s="26"/>
      <c r="B41" s="26"/>
      <c r="C41" s="16" t="s">
        <v>123</v>
      </c>
      <c r="D41" s="19" t="s">
        <v>124</v>
      </c>
      <c r="E41" s="17">
        <v>41408</v>
      </c>
      <c r="F41" s="18">
        <v>64</v>
      </c>
      <c r="G41" s="17"/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18" t="s">
        <v>45</v>
      </c>
      <c r="N41" s="18" t="s">
        <v>45</v>
      </c>
      <c r="O41" s="28">
        <v>1</v>
      </c>
      <c r="P41" s="28">
        <v>1</v>
      </c>
      <c r="Q41" s="28">
        <v>1</v>
      </c>
      <c r="R41" s="28">
        <v>1</v>
      </c>
      <c r="S41" s="28">
        <v>1</v>
      </c>
      <c r="T41" s="19" t="s">
        <v>63</v>
      </c>
      <c r="U41" s="20">
        <f t="shared" si="7"/>
        <v>9.9930000000000003</v>
      </c>
      <c r="V41" s="20">
        <v>9.9930000000000003</v>
      </c>
      <c r="W41" s="20"/>
      <c r="X41" s="20"/>
      <c r="Y41" s="21" t="s">
        <v>125</v>
      </c>
      <c r="Z41" s="29">
        <v>9.9930000000000003</v>
      </c>
      <c r="AA41" s="29">
        <v>0</v>
      </c>
      <c r="AB41" s="29">
        <v>0</v>
      </c>
      <c r="AC41" s="29">
        <f t="shared" si="20"/>
        <v>9.9930000000000003</v>
      </c>
      <c r="AD41" s="23"/>
      <c r="AE41" s="23"/>
      <c r="AF41" s="23"/>
      <c r="AG41" s="23"/>
      <c r="AH41" s="23"/>
      <c r="AI41" s="23"/>
      <c r="AJ41" s="23"/>
      <c r="AK41" s="30"/>
      <c r="AL41" s="30"/>
      <c r="AM41" s="30"/>
      <c r="AN41" s="30"/>
      <c r="AO41" s="30"/>
      <c r="AP41" s="24"/>
      <c r="AQ41" s="24"/>
      <c r="AR41" s="30">
        <v>9.9930000000000003</v>
      </c>
      <c r="AS41" s="30"/>
      <c r="AT41" s="30"/>
      <c r="AU41" s="30"/>
      <c r="AV41" s="30"/>
    </row>
    <row r="42" spans="1:48" s="25" customFormat="1" ht="39.75" customHeight="1" x14ac:dyDescent="0.3">
      <c r="A42" s="26"/>
      <c r="B42" s="26"/>
      <c r="C42" s="16" t="s">
        <v>126</v>
      </c>
      <c r="D42" s="19" t="s">
        <v>127</v>
      </c>
      <c r="E42" s="17">
        <v>40863</v>
      </c>
      <c r="F42" s="18">
        <v>27</v>
      </c>
      <c r="G42" s="17"/>
      <c r="H42" s="28">
        <v>1</v>
      </c>
      <c r="I42" s="28">
        <v>1</v>
      </c>
      <c r="J42" s="28">
        <v>1</v>
      </c>
      <c r="K42" s="28">
        <v>1</v>
      </c>
      <c r="L42" s="18" t="s">
        <v>45</v>
      </c>
      <c r="M42" s="18" t="s">
        <v>45</v>
      </c>
      <c r="N42" s="18" t="s">
        <v>45</v>
      </c>
      <c r="O42" s="28">
        <v>1</v>
      </c>
      <c r="P42" s="28">
        <v>1</v>
      </c>
      <c r="Q42" s="28">
        <v>1</v>
      </c>
      <c r="R42" s="28">
        <v>1</v>
      </c>
      <c r="S42" s="18" t="s">
        <v>45</v>
      </c>
      <c r="T42" s="19" t="s">
        <v>101</v>
      </c>
      <c r="U42" s="20">
        <f t="shared" si="7"/>
        <v>18.667000000000002</v>
      </c>
      <c r="V42" s="20">
        <v>18.667000000000002</v>
      </c>
      <c r="W42" s="20"/>
      <c r="X42" s="20"/>
      <c r="Y42" s="21" t="s">
        <v>128</v>
      </c>
      <c r="Z42" s="29">
        <v>18.667000000000002</v>
      </c>
      <c r="AA42" s="29">
        <v>0</v>
      </c>
      <c r="AB42" s="29">
        <v>0</v>
      </c>
      <c r="AC42" s="29">
        <f t="shared" si="20"/>
        <v>18.667000000000002</v>
      </c>
      <c r="AD42" s="23">
        <f t="shared" ref="AD42:AD43" si="23">50+(AC42-10)*5</f>
        <v>93.335000000000008</v>
      </c>
      <c r="AE42" s="23">
        <f t="shared" si="1"/>
        <v>93.335000000000008</v>
      </c>
      <c r="AF42" s="23">
        <f t="shared" si="2"/>
        <v>0</v>
      </c>
      <c r="AG42" s="23">
        <f t="shared" si="3"/>
        <v>0</v>
      </c>
      <c r="AH42" s="23">
        <f t="shared" si="4"/>
        <v>12.444666666666668</v>
      </c>
      <c r="AI42" s="23">
        <f t="shared" si="5"/>
        <v>6.2223333333333342</v>
      </c>
      <c r="AJ42" s="23">
        <f t="shared" si="6"/>
        <v>18.667000000000002</v>
      </c>
      <c r="AK42" s="30"/>
      <c r="AL42" s="30"/>
      <c r="AM42" s="30"/>
      <c r="AN42" s="30"/>
      <c r="AO42" s="24"/>
      <c r="AP42" s="24"/>
      <c r="AQ42" s="24"/>
      <c r="AR42" s="30">
        <v>18.667000000000002</v>
      </c>
      <c r="AS42" s="30"/>
      <c r="AT42" s="30"/>
      <c r="AU42" s="30"/>
      <c r="AV42" s="24"/>
    </row>
    <row r="43" spans="1:48" s="25" customFormat="1" ht="25.5" customHeight="1" x14ac:dyDescent="0.3">
      <c r="A43" s="26">
        <v>35</v>
      </c>
      <c r="B43" s="26"/>
      <c r="C43" s="16" t="s">
        <v>129</v>
      </c>
      <c r="D43" s="19" t="s">
        <v>130</v>
      </c>
      <c r="E43" s="17">
        <v>41631</v>
      </c>
      <c r="F43" s="18">
        <v>83</v>
      </c>
      <c r="G43" s="17"/>
      <c r="H43" s="28">
        <v>1</v>
      </c>
      <c r="I43" s="28">
        <v>1</v>
      </c>
      <c r="J43" s="28">
        <v>1</v>
      </c>
      <c r="K43" s="28">
        <v>1</v>
      </c>
      <c r="L43" s="28">
        <v>1</v>
      </c>
      <c r="M43" s="18" t="s">
        <v>45</v>
      </c>
      <c r="N43" s="18" t="s">
        <v>45</v>
      </c>
      <c r="O43" s="28">
        <v>1</v>
      </c>
      <c r="P43" s="28">
        <v>1</v>
      </c>
      <c r="Q43" s="28">
        <v>1</v>
      </c>
      <c r="R43" s="28">
        <v>1</v>
      </c>
      <c r="S43" s="28">
        <v>1</v>
      </c>
      <c r="T43" s="19" t="s">
        <v>131</v>
      </c>
      <c r="U43" s="20">
        <f t="shared" si="7"/>
        <v>17.585999999999999</v>
      </c>
      <c r="V43" s="20">
        <v>17.585999999999999</v>
      </c>
      <c r="W43" s="20"/>
      <c r="X43" s="20"/>
      <c r="Y43" s="21"/>
      <c r="Z43" s="29">
        <v>17.585999999999999</v>
      </c>
      <c r="AA43" s="29">
        <v>0</v>
      </c>
      <c r="AB43" s="29">
        <v>0</v>
      </c>
      <c r="AC43" s="29">
        <f t="shared" si="20"/>
        <v>17.585999999999999</v>
      </c>
      <c r="AD43" s="23">
        <f t="shared" si="23"/>
        <v>87.929999999999993</v>
      </c>
      <c r="AE43" s="23">
        <f t="shared" si="1"/>
        <v>87.929999999999993</v>
      </c>
      <c r="AF43" s="23">
        <f t="shared" si="2"/>
        <v>0</v>
      </c>
      <c r="AG43" s="23">
        <f t="shared" si="3"/>
        <v>0</v>
      </c>
      <c r="AH43" s="23">
        <f t="shared" si="4"/>
        <v>11.723999999999998</v>
      </c>
      <c r="AI43" s="23">
        <f t="shared" si="5"/>
        <v>5.8619999999999992</v>
      </c>
      <c r="AJ43" s="23">
        <f t="shared" si="6"/>
        <v>17.585999999999999</v>
      </c>
      <c r="AK43" s="30"/>
      <c r="AL43" s="30"/>
      <c r="AM43" s="30"/>
      <c r="AN43" s="30"/>
      <c r="AO43" s="30"/>
      <c r="AP43" s="24"/>
      <c r="AQ43" s="24"/>
      <c r="AR43" s="30">
        <v>17.585999999999999</v>
      </c>
      <c r="AS43" s="30"/>
      <c r="AT43" s="30"/>
      <c r="AU43" s="30"/>
      <c r="AV43" s="30"/>
    </row>
    <row r="44" spans="1:48" s="42" customFormat="1" x14ac:dyDescent="0.3">
      <c r="A44" s="31"/>
      <c r="B44" s="31"/>
      <c r="C44" s="32" t="s">
        <v>52</v>
      </c>
      <c r="D44" s="33"/>
      <c r="E44" s="34"/>
      <c r="F44" s="35"/>
      <c r="G44" s="36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3"/>
      <c r="U44" s="45">
        <f t="shared" ref="U44:AC44" si="24">SUM(U37:U43)</f>
        <v>235.04599999999999</v>
      </c>
      <c r="V44" s="45">
        <f t="shared" si="24"/>
        <v>183.64600000000002</v>
      </c>
      <c r="W44" s="45">
        <f t="shared" si="24"/>
        <v>0</v>
      </c>
      <c r="X44" s="45">
        <f t="shared" si="24"/>
        <v>0</v>
      </c>
      <c r="Y44" s="38">
        <f t="shared" si="24"/>
        <v>216.8</v>
      </c>
      <c r="Z44" s="39">
        <f t="shared" si="24"/>
        <v>223.54599999999999</v>
      </c>
      <c r="AA44" s="39">
        <f t="shared" si="24"/>
        <v>14.3</v>
      </c>
      <c r="AB44" s="39">
        <f t="shared" si="24"/>
        <v>0</v>
      </c>
      <c r="AC44" s="39">
        <f t="shared" si="24"/>
        <v>237.846</v>
      </c>
      <c r="AD44" s="40">
        <f t="shared" ref="AD44:AD46" si="25">280+(AC44-200)*0.1</f>
        <v>283.78460000000001</v>
      </c>
      <c r="AE44" s="40">
        <f t="shared" si="1"/>
        <v>266.72263646056695</v>
      </c>
      <c r="AF44" s="40">
        <f t="shared" si="2"/>
        <v>17.06196353943308</v>
      </c>
      <c r="AG44" s="40">
        <f t="shared" si="3"/>
        <v>0</v>
      </c>
      <c r="AH44" s="40">
        <f t="shared" si="4"/>
        <v>37.837946666666667</v>
      </c>
      <c r="AI44" s="40">
        <f t="shared" si="5"/>
        <v>18.918973333333334</v>
      </c>
      <c r="AJ44" s="40">
        <f t="shared" si="6"/>
        <v>56.756920000000001</v>
      </c>
      <c r="AK44" s="41"/>
      <c r="AL44" s="41"/>
      <c r="AM44" s="41"/>
      <c r="AN44" s="41"/>
      <c r="AO44" s="41"/>
      <c r="AP44" s="41"/>
      <c r="AQ44" s="41"/>
      <c r="AR44" s="41">
        <v>231.613</v>
      </c>
      <c r="AS44" s="41"/>
      <c r="AT44" s="41"/>
      <c r="AU44" s="41"/>
      <c r="AV44" s="41"/>
    </row>
    <row r="45" spans="1:48" s="25" customFormat="1" ht="19.5" customHeight="1" x14ac:dyDescent="0.3">
      <c r="A45" s="15">
        <v>5</v>
      </c>
      <c r="B45" s="15" t="s">
        <v>132</v>
      </c>
      <c r="C45" s="16" t="s">
        <v>43</v>
      </c>
      <c r="D45" s="19"/>
      <c r="E45" s="17"/>
      <c r="F45" s="18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20">
        <v>342.8</v>
      </c>
      <c r="V45" s="20"/>
      <c r="W45" s="20"/>
      <c r="X45" s="20"/>
      <c r="Y45" s="21">
        <v>1137.0999999999999</v>
      </c>
      <c r="Z45" s="58">
        <v>342.8</v>
      </c>
      <c r="AA45" s="58">
        <v>0</v>
      </c>
      <c r="AB45" s="58">
        <v>0</v>
      </c>
      <c r="AC45" s="58">
        <f t="shared" si="20"/>
        <v>342.8</v>
      </c>
      <c r="AD45" s="23">
        <f t="shared" si="25"/>
        <v>294.27999999999997</v>
      </c>
      <c r="AE45" s="23">
        <f t="shared" si="1"/>
        <v>294.27999999999997</v>
      </c>
      <c r="AF45" s="23">
        <f t="shared" si="2"/>
        <v>0</v>
      </c>
      <c r="AG45" s="23">
        <f t="shared" si="3"/>
        <v>0</v>
      </c>
      <c r="AH45" s="23">
        <f t="shared" si="4"/>
        <v>39.237333333333332</v>
      </c>
      <c r="AI45" s="23">
        <f t="shared" si="5"/>
        <v>19.618666666666666</v>
      </c>
      <c r="AJ45" s="23">
        <f t="shared" si="6"/>
        <v>58.855999999999995</v>
      </c>
      <c r="AK45" s="24"/>
      <c r="AL45" s="24"/>
      <c r="AM45" s="24"/>
      <c r="AN45" s="24"/>
      <c r="AO45" s="24"/>
      <c r="AP45" s="24"/>
      <c r="AQ45" s="24"/>
      <c r="AR45" s="24">
        <v>250</v>
      </c>
      <c r="AS45" s="24"/>
      <c r="AT45" s="24"/>
      <c r="AU45" s="24"/>
      <c r="AV45" s="24"/>
    </row>
    <row r="46" spans="1:48" s="25" customFormat="1" ht="39.75" customHeight="1" x14ac:dyDescent="0.3">
      <c r="A46" s="26">
        <v>39</v>
      </c>
      <c r="B46" s="26"/>
      <c r="C46" s="16" t="s">
        <v>133</v>
      </c>
      <c r="D46" s="19" t="s">
        <v>134</v>
      </c>
      <c r="E46" s="17">
        <v>41563</v>
      </c>
      <c r="F46" s="18">
        <v>72</v>
      </c>
      <c r="G46" s="17"/>
      <c r="H46" s="28">
        <v>1</v>
      </c>
      <c r="I46" s="18" t="s">
        <v>45</v>
      </c>
      <c r="J46" s="18" t="s">
        <v>45</v>
      </c>
      <c r="K46" s="18" t="s">
        <v>45</v>
      </c>
      <c r="L46" s="18" t="s">
        <v>45</v>
      </c>
      <c r="M46" s="18" t="s">
        <v>45</v>
      </c>
      <c r="N46" s="18" t="s">
        <v>45</v>
      </c>
      <c r="O46" s="28">
        <v>1</v>
      </c>
      <c r="P46" s="28">
        <v>1</v>
      </c>
      <c r="Q46" s="28">
        <v>1</v>
      </c>
      <c r="R46" s="28">
        <v>1</v>
      </c>
      <c r="S46" s="28">
        <v>1</v>
      </c>
      <c r="T46" s="19" t="s">
        <v>135</v>
      </c>
      <c r="U46" s="20">
        <f t="shared" si="7"/>
        <v>672.93</v>
      </c>
      <c r="V46" s="20">
        <v>534.79</v>
      </c>
      <c r="W46" s="20">
        <v>130.624</v>
      </c>
      <c r="X46" s="20">
        <v>7.516</v>
      </c>
      <c r="Y46" s="21" t="s">
        <v>136</v>
      </c>
      <c r="Z46" s="50">
        <v>601.74</v>
      </c>
      <c r="AA46" s="50">
        <f>IF([1]Заяц_беляк!$N$5=0,"",[1]Заяц_беляк!$N$5)</f>
        <v>40.67</v>
      </c>
      <c r="AB46" s="50">
        <f>IF([1]Заяц_беляк!$O$5=0,"",[1]Заяц_беляк!$O$5)</f>
        <v>30.52</v>
      </c>
      <c r="AC46" s="50">
        <f t="shared" si="20"/>
        <v>672.93</v>
      </c>
      <c r="AD46" s="23">
        <f t="shared" si="25"/>
        <v>327.29300000000001</v>
      </c>
      <c r="AE46" s="23">
        <f t="shared" si="1"/>
        <v>292.66831590209978</v>
      </c>
      <c r="AF46" s="23">
        <f t="shared" si="2"/>
        <v>19.780670069695216</v>
      </c>
      <c r="AG46" s="23">
        <f t="shared" si="3"/>
        <v>14.844014028205015</v>
      </c>
      <c r="AH46" s="23">
        <f t="shared" si="4"/>
        <v>43.639066666666665</v>
      </c>
      <c r="AI46" s="23">
        <f t="shared" si="5"/>
        <v>21.819533333333332</v>
      </c>
      <c r="AJ46" s="23">
        <f t="shared" si="6"/>
        <v>65.458600000000004</v>
      </c>
      <c r="AK46" s="30"/>
      <c r="AL46" s="24"/>
      <c r="AM46" s="24"/>
      <c r="AN46" s="24"/>
      <c r="AO46" s="24"/>
      <c r="AP46" s="24"/>
      <c r="AQ46" s="24"/>
      <c r="AR46" s="30">
        <v>605.6</v>
      </c>
      <c r="AS46" s="30"/>
      <c r="AT46" s="30"/>
      <c r="AU46" s="30"/>
      <c r="AV46" s="30"/>
    </row>
    <row r="47" spans="1:48" s="25" customFormat="1" ht="39.75" customHeight="1" x14ac:dyDescent="0.3">
      <c r="A47" s="26"/>
      <c r="B47" s="26"/>
      <c r="C47" s="16" t="s">
        <v>137</v>
      </c>
      <c r="D47" s="19"/>
      <c r="E47" s="17">
        <v>41590</v>
      </c>
      <c r="F47" s="18">
        <v>73</v>
      </c>
      <c r="G47" s="17"/>
      <c r="H47" s="28">
        <v>1</v>
      </c>
      <c r="I47" s="18" t="s">
        <v>45</v>
      </c>
      <c r="J47" s="28">
        <v>1</v>
      </c>
      <c r="K47" s="18" t="s">
        <v>45</v>
      </c>
      <c r="L47" s="18" t="s">
        <v>45</v>
      </c>
      <c r="M47" s="18" t="s">
        <v>45</v>
      </c>
      <c r="N47" s="18" t="s">
        <v>45</v>
      </c>
      <c r="O47" s="28">
        <v>1</v>
      </c>
      <c r="P47" s="28">
        <v>1</v>
      </c>
      <c r="Q47" s="28">
        <v>1</v>
      </c>
      <c r="R47" s="18" t="s">
        <v>45</v>
      </c>
      <c r="S47" s="28">
        <v>1</v>
      </c>
      <c r="T47" s="19" t="s">
        <v>138</v>
      </c>
      <c r="U47" s="20">
        <f t="shared" si="7"/>
        <v>6.4530000000000003</v>
      </c>
      <c r="V47" s="20">
        <v>6.4530000000000003</v>
      </c>
      <c r="W47" s="20"/>
      <c r="X47" s="20"/>
      <c r="Y47" s="21" t="s">
        <v>139</v>
      </c>
      <c r="Z47" s="50">
        <v>6.35</v>
      </c>
      <c r="AA47" s="50">
        <v>0</v>
      </c>
      <c r="AB47" s="50">
        <v>0.1</v>
      </c>
      <c r="AC47" s="50">
        <f t="shared" si="20"/>
        <v>6.4499999999999993</v>
      </c>
      <c r="AD47" s="59"/>
      <c r="AE47" s="23"/>
      <c r="AF47" s="23"/>
      <c r="AG47" s="23"/>
      <c r="AH47" s="23"/>
      <c r="AI47" s="23"/>
      <c r="AJ47" s="23"/>
      <c r="AK47" s="30"/>
      <c r="AL47" s="24"/>
      <c r="AM47" s="30"/>
      <c r="AN47" s="24"/>
      <c r="AO47" s="24"/>
      <c r="AP47" s="24"/>
      <c r="AQ47" s="24"/>
      <c r="AR47" s="30">
        <v>6.4</v>
      </c>
      <c r="AS47" s="30"/>
      <c r="AT47" s="30"/>
      <c r="AU47" s="24"/>
      <c r="AV47" s="30"/>
    </row>
    <row r="48" spans="1:48" s="25" customFormat="1" ht="39.75" customHeight="1" x14ac:dyDescent="0.3">
      <c r="A48" s="26"/>
      <c r="B48" s="26"/>
      <c r="C48" s="16" t="s">
        <v>140</v>
      </c>
      <c r="D48" s="19"/>
      <c r="E48" s="17">
        <v>40989</v>
      </c>
      <c r="F48" s="18">
        <v>41</v>
      </c>
      <c r="G48" s="17"/>
      <c r="H48" s="28">
        <v>1</v>
      </c>
      <c r="I48" s="18" t="s">
        <v>45</v>
      </c>
      <c r="J48" s="18" t="s">
        <v>45</v>
      </c>
      <c r="K48" s="18" t="s">
        <v>45</v>
      </c>
      <c r="L48" s="18" t="s">
        <v>45</v>
      </c>
      <c r="M48" s="18" t="s">
        <v>45</v>
      </c>
      <c r="N48" s="18" t="s">
        <v>45</v>
      </c>
      <c r="O48" s="28">
        <v>1</v>
      </c>
      <c r="P48" s="28">
        <v>1</v>
      </c>
      <c r="Q48" s="28">
        <v>1</v>
      </c>
      <c r="R48" s="18" t="s">
        <v>45</v>
      </c>
      <c r="S48" s="28">
        <v>1</v>
      </c>
      <c r="T48" s="19" t="s">
        <v>141</v>
      </c>
      <c r="U48" s="20">
        <f t="shared" si="7"/>
        <v>6.4850000000000003</v>
      </c>
      <c r="V48" s="20">
        <v>6.4850000000000003</v>
      </c>
      <c r="W48" s="20"/>
      <c r="X48" s="20"/>
      <c r="Y48" s="21" t="s">
        <v>142</v>
      </c>
      <c r="Z48" s="50">
        <v>6.4850000000000003</v>
      </c>
      <c r="AA48" s="50">
        <v>0</v>
      </c>
      <c r="AB48" s="50">
        <v>0</v>
      </c>
      <c r="AC48" s="50">
        <f t="shared" si="20"/>
        <v>6.4850000000000003</v>
      </c>
      <c r="AD48" s="59"/>
      <c r="AE48" s="23"/>
      <c r="AF48" s="23"/>
      <c r="AG48" s="23"/>
      <c r="AH48" s="23"/>
      <c r="AI48" s="23"/>
      <c r="AJ48" s="23"/>
      <c r="AK48" s="30"/>
      <c r="AL48" s="24"/>
      <c r="AM48" s="24"/>
      <c r="AN48" s="24"/>
      <c r="AO48" s="24"/>
      <c r="AP48" s="24"/>
      <c r="AQ48" s="24"/>
      <c r="AR48" s="30">
        <v>6.4</v>
      </c>
      <c r="AS48" s="30"/>
      <c r="AT48" s="30"/>
      <c r="AU48" s="24"/>
      <c r="AV48" s="30"/>
    </row>
    <row r="49" spans="1:48" s="25" customFormat="1" ht="35.25" customHeight="1" collapsed="1" x14ac:dyDescent="0.3">
      <c r="A49" s="26">
        <v>42</v>
      </c>
      <c r="B49" s="26"/>
      <c r="C49" s="16" t="s">
        <v>143</v>
      </c>
      <c r="D49" s="19" t="s">
        <v>144</v>
      </c>
      <c r="E49" s="17">
        <v>40791</v>
      </c>
      <c r="F49" s="18">
        <v>21</v>
      </c>
      <c r="G49" s="17"/>
      <c r="H49" s="28">
        <v>1</v>
      </c>
      <c r="I49" s="18" t="s">
        <v>45</v>
      </c>
      <c r="J49" s="18" t="s">
        <v>45</v>
      </c>
      <c r="K49" s="18" t="s">
        <v>45</v>
      </c>
      <c r="L49" s="18" t="s">
        <v>45</v>
      </c>
      <c r="M49" s="18" t="s">
        <v>45</v>
      </c>
      <c r="N49" s="18" t="s">
        <v>45</v>
      </c>
      <c r="O49" s="28">
        <v>1</v>
      </c>
      <c r="P49" s="28">
        <v>1</v>
      </c>
      <c r="Q49" s="28">
        <v>1</v>
      </c>
      <c r="R49" s="18" t="s">
        <v>45</v>
      </c>
      <c r="S49" s="28">
        <v>1</v>
      </c>
      <c r="T49" s="19" t="s">
        <v>141</v>
      </c>
      <c r="U49" s="20">
        <f t="shared" si="7"/>
        <v>44.003</v>
      </c>
      <c r="V49" s="20">
        <v>44.003</v>
      </c>
      <c r="W49" s="20"/>
      <c r="X49" s="20"/>
      <c r="Y49" s="21"/>
      <c r="Z49" s="50">
        <f>IF([2]Заяц_беляк!$M$5=0,"",[2]Заяц_беляк!$M$5)</f>
        <v>43</v>
      </c>
      <c r="AA49" s="50">
        <v>0</v>
      </c>
      <c r="AB49" s="50">
        <f>IF([2]Заяц_беляк!$O$5=0,"",[2]Заяц_беляк!$O$5)</f>
        <v>1</v>
      </c>
      <c r="AC49" s="50">
        <f t="shared" si="20"/>
        <v>44</v>
      </c>
      <c r="AD49" s="23">
        <f t="shared" ref="AD49:AD50" si="26">100+(AC49-20)*2</f>
        <v>148</v>
      </c>
      <c r="AE49" s="23">
        <f t="shared" si="1"/>
        <v>144.63636363636363</v>
      </c>
      <c r="AF49" s="23">
        <f t="shared" si="2"/>
        <v>0</v>
      </c>
      <c r="AG49" s="23">
        <f t="shared" si="3"/>
        <v>3.3636363636363638</v>
      </c>
      <c r="AH49" s="23">
        <f t="shared" si="4"/>
        <v>19.733333333333334</v>
      </c>
      <c r="AI49" s="23">
        <f t="shared" si="5"/>
        <v>9.8666666666666671</v>
      </c>
      <c r="AJ49" s="23">
        <f t="shared" si="6"/>
        <v>29.6</v>
      </c>
      <c r="AK49" s="30"/>
      <c r="AL49" s="24"/>
      <c r="AM49" s="24"/>
      <c r="AN49" s="24"/>
      <c r="AO49" s="24"/>
      <c r="AP49" s="24"/>
      <c r="AQ49" s="24"/>
      <c r="AR49" s="30">
        <v>44.003</v>
      </c>
      <c r="AS49" s="30"/>
      <c r="AT49" s="30"/>
      <c r="AU49" s="24"/>
      <c r="AV49" s="30"/>
    </row>
    <row r="50" spans="1:48" s="25" customFormat="1" ht="35.25" customHeight="1" x14ac:dyDescent="0.3">
      <c r="A50" s="26"/>
      <c r="B50" s="26"/>
      <c r="C50" s="16" t="s">
        <v>145</v>
      </c>
      <c r="D50" s="19" t="s">
        <v>146</v>
      </c>
      <c r="E50" s="17">
        <v>41906</v>
      </c>
      <c r="F50" s="18">
        <v>117</v>
      </c>
      <c r="G50" s="17"/>
      <c r="H50" s="28">
        <v>1</v>
      </c>
      <c r="I50" s="18" t="s">
        <v>45</v>
      </c>
      <c r="J50" s="18" t="s">
        <v>45</v>
      </c>
      <c r="K50" s="18" t="s">
        <v>45</v>
      </c>
      <c r="L50" s="18" t="s">
        <v>45</v>
      </c>
      <c r="M50" s="18" t="s">
        <v>45</v>
      </c>
      <c r="N50" s="18" t="s">
        <v>45</v>
      </c>
      <c r="O50" s="28">
        <v>1</v>
      </c>
      <c r="P50" s="28">
        <v>1</v>
      </c>
      <c r="Q50" s="28">
        <v>1</v>
      </c>
      <c r="R50" s="28">
        <v>1</v>
      </c>
      <c r="S50" s="28">
        <v>1</v>
      </c>
      <c r="T50" s="19" t="s">
        <v>135</v>
      </c>
      <c r="U50" s="20">
        <f t="shared" si="7"/>
        <v>45.406999999999996</v>
      </c>
      <c r="V50" s="20">
        <v>41.204999999999998</v>
      </c>
      <c r="W50" s="20">
        <v>0</v>
      </c>
      <c r="X50" s="20">
        <v>4.202</v>
      </c>
      <c r="Y50" s="21" t="s">
        <v>147</v>
      </c>
      <c r="Z50" s="50">
        <v>45.406999999999996</v>
      </c>
      <c r="AA50" s="50">
        <v>0</v>
      </c>
      <c r="AB50" s="50">
        <v>0</v>
      </c>
      <c r="AC50" s="50">
        <f t="shared" si="20"/>
        <v>45.406999999999996</v>
      </c>
      <c r="AD50" s="23">
        <f t="shared" si="26"/>
        <v>150.81399999999999</v>
      </c>
      <c r="AE50" s="23">
        <f t="shared" si="1"/>
        <v>150.81399999999999</v>
      </c>
      <c r="AF50" s="23">
        <f t="shared" si="2"/>
        <v>0</v>
      </c>
      <c r="AG50" s="23">
        <f t="shared" si="3"/>
        <v>0</v>
      </c>
      <c r="AH50" s="23">
        <f t="shared" si="4"/>
        <v>20.108533333333334</v>
      </c>
      <c r="AI50" s="23">
        <f t="shared" si="5"/>
        <v>10.054266666666667</v>
      </c>
      <c r="AJ50" s="23">
        <f t="shared" si="6"/>
        <v>30.162799999999997</v>
      </c>
      <c r="AK50" s="30"/>
      <c r="AL50" s="24"/>
      <c r="AM50" s="24"/>
      <c r="AN50" s="24"/>
      <c r="AO50" s="24"/>
      <c r="AP50" s="24"/>
      <c r="AQ50" s="24"/>
      <c r="AR50" s="30">
        <v>41.204999999999998</v>
      </c>
      <c r="AS50" s="30"/>
      <c r="AT50" s="30"/>
      <c r="AU50" s="30"/>
      <c r="AV50" s="30"/>
    </row>
    <row r="51" spans="1:48" s="25" customFormat="1" ht="38.25" customHeight="1" x14ac:dyDescent="0.3">
      <c r="A51" s="26">
        <v>43</v>
      </c>
      <c r="B51" s="26"/>
      <c r="C51" s="16" t="s">
        <v>148</v>
      </c>
      <c r="D51" s="19" t="s">
        <v>149</v>
      </c>
      <c r="E51" s="17">
        <v>41150</v>
      </c>
      <c r="F51" s="18">
        <v>51</v>
      </c>
      <c r="G51" s="17"/>
      <c r="H51" s="28">
        <v>1</v>
      </c>
      <c r="I51" s="18" t="s">
        <v>45</v>
      </c>
      <c r="J51" s="18" t="s">
        <v>45</v>
      </c>
      <c r="K51" s="18" t="s">
        <v>45</v>
      </c>
      <c r="L51" s="18" t="s">
        <v>45</v>
      </c>
      <c r="M51" s="18" t="s">
        <v>45</v>
      </c>
      <c r="N51" s="18" t="s">
        <v>45</v>
      </c>
      <c r="O51" s="28">
        <v>1</v>
      </c>
      <c r="P51" s="28">
        <v>1</v>
      </c>
      <c r="Q51" s="28">
        <v>1</v>
      </c>
      <c r="R51" s="18" t="s">
        <v>45</v>
      </c>
      <c r="S51" s="28">
        <v>1</v>
      </c>
      <c r="T51" s="19" t="s">
        <v>141</v>
      </c>
      <c r="U51" s="20">
        <f t="shared" si="7"/>
        <v>19.009</v>
      </c>
      <c r="V51" s="20">
        <v>19.009</v>
      </c>
      <c r="W51" s="20"/>
      <c r="X51" s="20"/>
      <c r="Y51" s="21"/>
      <c r="Z51" s="50">
        <f>IF([3]Заяц_беляк!$M$5=0,"",[3]Заяц_беляк!$M$5)</f>
        <v>14.25</v>
      </c>
      <c r="AA51" s="50">
        <f>IF([3]Заяц_беляк!$N$5=0,"",[3]Заяц_беляк!$N$5)</f>
        <v>0.38</v>
      </c>
      <c r="AB51" s="50">
        <f>IF([3]Заяц_беляк!$O$5=0,"",[3]Заяц_беляк!$O$5)</f>
        <v>4.37</v>
      </c>
      <c r="AC51" s="50">
        <f t="shared" si="20"/>
        <v>19</v>
      </c>
      <c r="AD51" s="23">
        <f>50+(AC51-10)*5</f>
        <v>95</v>
      </c>
      <c r="AE51" s="23">
        <f t="shared" si="1"/>
        <v>71.25</v>
      </c>
      <c r="AF51" s="23">
        <f t="shared" si="2"/>
        <v>1.9000000000000001</v>
      </c>
      <c r="AG51" s="23">
        <f t="shared" si="3"/>
        <v>21.85</v>
      </c>
      <c r="AH51" s="23">
        <f t="shared" si="4"/>
        <v>12.666666666666666</v>
      </c>
      <c r="AI51" s="23">
        <f t="shared" si="5"/>
        <v>6.333333333333333</v>
      </c>
      <c r="AJ51" s="23">
        <f t="shared" si="6"/>
        <v>19</v>
      </c>
      <c r="AK51" s="30"/>
      <c r="AL51" s="24"/>
      <c r="AM51" s="24"/>
      <c r="AN51" s="24"/>
      <c r="AO51" s="24"/>
      <c r="AP51" s="24"/>
      <c r="AQ51" s="24"/>
      <c r="AR51" s="30">
        <v>15.5</v>
      </c>
      <c r="AS51" s="30"/>
      <c r="AT51" s="30"/>
      <c r="AU51" s="24"/>
      <c r="AV51" s="30"/>
    </row>
    <row r="52" spans="1:48" s="42" customFormat="1" x14ac:dyDescent="0.3">
      <c r="A52" s="31"/>
      <c r="B52" s="31"/>
      <c r="C52" s="32" t="s">
        <v>52</v>
      </c>
      <c r="D52" s="33"/>
      <c r="E52" s="34"/>
      <c r="F52" s="35"/>
      <c r="G52" s="36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3"/>
      <c r="U52" s="45">
        <f t="shared" ref="U52:AC52" si="27">SUM(U45:U51)</f>
        <v>1137.0869999999998</v>
      </c>
      <c r="V52" s="45">
        <f t="shared" si="27"/>
        <v>651.94500000000005</v>
      </c>
      <c r="W52" s="45">
        <f t="shared" si="27"/>
        <v>130.624</v>
      </c>
      <c r="X52" s="45">
        <f t="shared" si="27"/>
        <v>11.718</v>
      </c>
      <c r="Y52" s="38">
        <f t="shared" si="27"/>
        <v>1137.0999999999999</v>
      </c>
      <c r="Z52" s="39">
        <f t="shared" si="27"/>
        <v>1060.0319999999999</v>
      </c>
      <c r="AA52" s="39">
        <f t="shared" si="27"/>
        <v>41.050000000000004</v>
      </c>
      <c r="AB52" s="39">
        <f t="shared" si="27"/>
        <v>35.99</v>
      </c>
      <c r="AC52" s="39">
        <f t="shared" si="27"/>
        <v>1137.0719999999999</v>
      </c>
      <c r="AD52" s="40">
        <f t="shared" ref="AD52:AD56" si="28">280+(AC52-200)*0.1</f>
        <v>373.7072</v>
      </c>
      <c r="AE52" s="40">
        <f t="shared" si="1"/>
        <v>348.38742896703116</v>
      </c>
      <c r="AF52" s="40">
        <f t="shared" si="2"/>
        <v>13.491388900614915</v>
      </c>
      <c r="AG52" s="40">
        <f t="shared" si="3"/>
        <v>11.828382132353978</v>
      </c>
      <c r="AH52" s="40">
        <f t="shared" si="4"/>
        <v>49.827626666666667</v>
      </c>
      <c r="AI52" s="40">
        <f t="shared" si="5"/>
        <v>24.913813333333334</v>
      </c>
      <c r="AJ52" s="40">
        <f t="shared" si="6"/>
        <v>74.741439999999997</v>
      </c>
      <c r="AK52" s="41"/>
      <c r="AL52" s="41"/>
      <c r="AM52" s="41"/>
      <c r="AN52" s="41"/>
      <c r="AO52" s="41"/>
      <c r="AP52" s="41"/>
      <c r="AQ52" s="41"/>
      <c r="AR52" s="41">
        <v>969.10800000000006</v>
      </c>
      <c r="AS52" s="41"/>
      <c r="AT52" s="41"/>
      <c r="AU52" s="41"/>
      <c r="AV52" s="41"/>
    </row>
    <row r="53" spans="1:48" s="25" customFormat="1" ht="19.5" customHeight="1" x14ac:dyDescent="0.3">
      <c r="A53" s="15">
        <v>6</v>
      </c>
      <c r="B53" s="15" t="s">
        <v>150</v>
      </c>
      <c r="C53" s="16" t="s">
        <v>43</v>
      </c>
      <c r="D53" s="19"/>
      <c r="E53" s="17"/>
      <c r="F53" s="18"/>
      <c r="G53" s="17"/>
      <c r="H53" s="43"/>
      <c r="I53" s="43"/>
      <c r="J53" s="43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20">
        <v>203.2</v>
      </c>
      <c r="V53" s="20"/>
      <c r="W53" s="20"/>
      <c r="X53" s="20"/>
      <c r="Y53" s="21">
        <v>203.2</v>
      </c>
      <c r="Z53" s="60">
        <v>72.900000000000006</v>
      </c>
      <c r="AA53" s="60">
        <v>127.7</v>
      </c>
      <c r="AB53" s="60">
        <f>IF([4]Заяц_беляк!$O$5=0,"",[4]Заяц_беляк!$O$5)</f>
        <v>2.6</v>
      </c>
      <c r="AC53" s="60">
        <f t="shared" si="20"/>
        <v>203.20000000000002</v>
      </c>
      <c r="AD53" s="23">
        <f t="shared" si="28"/>
        <v>280.32</v>
      </c>
      <c r="AE53" s="23">
        <f t="shared" si="1"/>
        <v>100.56755905511811</v>
      </c>
      <c r="AF53" s="23">
        <f t="shared" si="2"/>
        <v>176.16566929133859</v>
      </c>
      <c r="AG53" s="23">
        <f t="shared" si="3"/>
        <v>3.5867716535433067</v>
      </c>
      <c r="AH53" s="23">
        <f t="shared" si="4"/>
        <v>37.375999999999998</v>
      </c>
      <c r="AI53" s="23">
        <f t="shared" si="5"/>
        <v>18.687999999999999</v>
      </c>
      <c r="AJ53" s="23">
        <f t="shared" si="6"/>
        <v>56.064</v>
      </c>
      <c r="AK53" s="44"/>
      <c r="AL53" s="44"/>
      <c r="AM53" s="44"/>
      <c r="AN53" s="24"/>
      <c r="AO53" s="24"/>
      <c r="AP53" s="24"/>
      <c r="AQ53" s="24"/>
      <c r="AR53" s="24">
        <v>70.900000000000006</v>
      </c>
      <c r="AS53" s="24"/>
      <c r="AT53" s="24"/>
      <c r="AU53" s="24"/>
      <c r="AV53" s="24"/>
    </row>
    <row r="54" spans="1:48" s="42" customFormat="1" x14ac:dyDescent="0.3">
      <c r="A54" s="31"/>
      <c r="B54" s="31"/>
      <c r="C54" s="32" t="s">
        <v>52</v>
      </c>
      <c r="D54" s="33"/>
      <c r="E54" s="34"/>
      <c r="F54" s="35"/>
      <c r="G54" s="36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3"/>
      <c r="U54" s="45">
        <f t="shared" ref="U54:AC54" si="29">SUM(U53)</f>
        <v>203.2</v>
      </c>
      <c r="V54" s="45">
        <f t="shared" si="29"/>
        <v>0</v>
      </c>
      <c r="W54" s="45">
        <f t="shared" si="29"/>
        <v>0</v>
      </c>
      <c r="X54" s="45">
        <f t="shared" si="29"/>
        <v>0</v>
      </c>
      <c r="Y54" s="38">
        <f t="shared" si="29"/>
        <v>203.2</v>
      </c>
      <c r="Z54" s="39">
        <f t="shared" si="29"/>
        <v>72.900000000000006</v>
      </c>
      <c r="AA54" s="39">
        <f t="shared" si="29"/>
        <v>127.7</v>
      </c>
      <c r="AB54" s="39">
        <f t="shared" si="29"/>
        <v>2.6</v>
      </c>
      <c r="AC54" s="39">
        <f t="shared" si="29"/>
        <v>203.20000000000002</v>
      </c>
      <c r="AD54" s="40">
        <f t="shared" si="28"/>
        <v>280.32</v>
      </c>
      <c r="AE54" s="40">
        <f t="shared" si="1"/>
        <v>100.56755905511811</v>
      </c>
      <c r="AF54" s="40">
        <f t="shared" si="2"/>
        <v>176.16566929133859</v>
      </c>
      <c r="AG54" s="40">
        <f t="shared" si="3"/>
        <v>3.5867716535433067</v>
      </c>
      <c r="AH54" s="40">
        <f t="shared" si="4"/>
        <v>37.375999999999998</v>
      </c>
      <c r="AI54" s="40">
        <f t="shared" si="5"/>
        <v>18.687999999999999</v>
      </c>
      <c r="AJ54" s="40">
        <f t="shared" si="6"/>
        <v>56.064</v>
      </c>
      <c r="AK54" s="41"/>
      <c r="AL54" s="41"/>
      <c r="AM54" s="41"/>
      <c r="AN54" s="41"/>
      <c r="AO54" s="41"/>
      <c r="AP54" s="41"/>
      <c r="AQ54" s="41"/>
      <c r="AR54" s="41">
        <v>70.900000000000006</v>
      </c>
      <c r="AS54" s="41"/>
      <c r="AT54" s="41"/>
      <c r="AU54" s="41"/>
      <c r="AV54" s="41"/>
    </row>
    <row r="55" spans="1:48" s="25" customFormat="1" ht="19.5" customHeight="1" x14ac:dyDescent="0.3">
      <c r="A55" s="15">
        <v>7</v>
      </c>
      <c r="B55" s="15" t="s">
        <v>151</v>
      </c>
      <c r="C55" s="16" t="s">
        <v>43</v>
      </c>
      <c r="D55" s="19"/>
      <c r="E55" s="17"/>
      <c r="F55" s="18"/>
      <c r="G55" s="17"/>
      <c r="H55" s="18"/>
      <c r="I55" s="18"/>
      <c r="J55" s="18"/>
      <c r="K55" s="18"/>
      <c r="L55" s="18"/>
      <c r="M55" s="43"/>
      <c r="N55" s="18"/>
      <c r="O55" s="18"/>
      <c r="P55" s="18"/>
      <c r="Q55" s="18"/>
      <c r="R55" s="18"/>
      <c r="S55" s="18"/>
      <c r="T55" s="19"/>
      <c r="U55" s="20">
        <v>280.60000000000002</v>
      </c>
      <c r="V55" s="20"/>
      <c r="W55" s="20"/>
      <c r="X55" s="20"/>
      <c r="Y55" s="21">
        <v>5174.2</v>
      </c>
      <c r="Z55" s="60">
        <v>280.60000000000002</v>
      </c>
      <c r="AA55" s="60">
        <v>0</v>
      </c>
      <c r="AB55" s="60">
        <v>0</v>
      </c>
      <c r="AC55" s="60">
        <f t="shared" si="20"/>
        <v>280.60000000000002</v>
      </c>
      <c r="AD55" s="23">
        <f t="shared" si="28"/>
        <v>288.06</v>
      </c>
      <c r="AE55" s="23">
        <f t="shared" si="1"/>
        <v>288.06</v>
      </c>
      <c r="AF55" s="23">
        <f t="shared" si="2"/>
        <v>0</v>
      </c>
      <c r="AG55" s="23">
        <f t="shared" si="3"/>
        <v>0</v>
      </c>
      <c r="AH55" s="23">
        <f t="shared" si="4"/>
        <v>38.408000000000001</v>
      </c>
      <c r="AI55" s="23">
        <f t="shared" si="5"/>
        <v>19.204000000000001</v>
      </c>
      <c r="AJ55" s="23">
        <f t="shared" si="6"/>
        <v>57.612000000000002</v>
      </c>
      <c r="AK55" s="24"/>
      <c r="AL55" s="24"/>
      <c r="AM55" s="24"/>
      <c r="AN55" s="24"/>
      <c r="AO55" s="24"/>
      <c r="AP55" s="44"/>
      <c r="AQ55" s="24"/>
      <c r="AR55" s="24">
        <v>280.60000000000002</v>
      </c>
      <c r="AS55" s="24"/>
      <c r="AT55" s="24"/>
      <c r="AU55" s="24"/>
      <c r="AV55" s="24"/>
    </row>
    <row r="56" spans="1:48" s="25" customFormat="1" ht="57" customHeight="1" x14ac:dyDescent="0.3">
      <c r="A56" s="26"/>
      <c r="B56" s="26"/>
      <c r="C56" s="16" t="s">
        <v>152</v>
      </c>
      <c r="D56" s="19" t="s">
        <v>153</v>
      </c>
      <c r="E56" s="17">
        <v>41859</v>
      </c>
      <c r="F56" s="18">
        <v>109</v>
      </c>
      <c r="G56" s="17"/>
      <c r="H56" s="28">
        <v>1</v>
      </c>
      <c r="I56" s="28">
        <v>1</v>
      </c>
      <c r="J56" s="28">
        <v>1</v>
      </c>
      <c r="K56" s="28">
        <v>1</v>
      </c>
      <c r="L56" s="18" t="s">
        <v>45</v>
      </c>
      <c r="M56" s="43" t="s">
        <v>45</v>
      </c>
      <c r="N56" s="18" t="s">
        <v>45</v>
      </c>
      <c r="O56" s="28">
        <v>1</v>
      </c>
      <c r="P56" s="28">
        <v>1</v>
      </c>
      <c r="Q56" s="28">
        <v>1</v>
      </c>
      <c r="R56" s="28">
        <v>1</v>
      </c>
      <c r="S56" s="28">
        <v>1</v>
      </c>
      <c r="T56" s="19" t="s">
        <v>79</v>
      </c>
      <c r="U56" s="20">
        <f t="shared" si="7"/>
        <v>994.94500000000005</v>
      </c>
      <c r="V56" s="20">
        <v>994.94500000000005</v>
      </c>
      <c r="W56" s="20"/>
      <c r="X56" s="20"/>
      <c r="Y56" s="21"/>
      <c r="Z56" s="29">
        <v>994.94500000000005</v>
      </c>
      <c r="AA56" s="29">
        <v>0</v>
      </c>
      <c r="AB56" s="29">
        <v>0</v>
      </c>
      <c r="AC56" s="29">
        <f t="shared" si="20"/>
        <v>994.94500000000005</v>
      </c>
      <c r="AD56" s="23">
        <f t="shared" si="28"/>
        <v>359.49450000000002</v>
      </c>
      <c r="AE56" s="23">
        <f t="shared" si="1"/>
        <v>359.49450000000002</v>
      </c>
      <c r="AF56" s="23">
        <f t="shared" si="2"/>
        <v>0</v>
      </c>
      <c r="AG56" s="23">
        <f t="shared" si="3"/>
        <v>0</v>
      </c>
      <c r="AH56" s="23">
        <f t="shared" si="4"/>
        <v>47.932600000000001</v>
      </c>
      <c r="AI56" s="23">
        <f t="shared" si="5"/>
        <v>23.9663</v>
      </c>
      <c r="AJ56" s="23">
        <f t="shared" si="6"/>
        <v>71.898899999999998</v>
      </c>
      <c r="AK56" s="30"/>
      <c r="AL56" s="30"/>
      <c r="AM56" s="30"/>
      <c r="AN56" s="30"/>
      <c r="AO56" s="24"/>
      <c r="AP56" s="44"/>
      <c r="AQ56" s="24"/>
      <c r="AR56" s="30">
        <v>994.94500000000005</v>
      </c>
      <c r="AS56" s="30"/>
      <c r="AT56" s="30"/>
      <c r="AU56" s="30"/>
      <c r="AV56" s="30"/>
    </row>
    <row r="57" spans="1:48" s="25" customFormat="1" ht="55.5" customHeight="1" x14ac:dyDescent="0.3">
      <c r="A57" s="26"/>
      <c r="B57" s="26"/>
      <c r="C57" s="16" t="s">
        <v>154</v>
      </c>
      <c r="D57" s="19" t="s">
        <v>155</v>
      </c>
      <c r="E57" s="17">
        <v>40778</v>
      </c>
      <c r="F57" s="18">
        <v>19</v>
      </c>
      <c r="G57" s="17"/>
      <c r="H57" s="28">
        <v>1</v>
      </c>
      <c r="I57" s="28">
        <v>1</v>
      </c>
      <c r="J57" s="28">
        <v>1</v>
      </c>
      <c r="K57" s="28">
        <v>1</v>
      </c>
      <c r="L57" s="18" t="s">
        <v>45</v>
      </c>
      <c r="M57" s="43" t="s">
        <v>45</v>
      </c>
      <c r="N57" s="18" t="s">
        <v>45</v>
      </c>
      <c r="O57" s="28">
        <v>1</v>
      </c>
      <c r="P57" s="28">
        <v>1</v>
      </c>
      <c r="Q57" s="28">
        <v>1</v>
      </c>
      <c r="R57" s="18" t="s">
        <v>45</v>
      </c>
      <c r="S57" s="28">
        <v>1</v>
      </c>
      <c r="T57" s="19" t="s">
        <v>156</v>
      </c>
      <c r="U57" s="20">
        <f t="shared" si="7"/>
        <v>57.087000000000003</v>
      </c>
      <c r="V57" s="20">
        <v>57.087000000000003</v>
      </c>
      <c r="W57" s="20"/>
      <c r="X57" s="20"/>
      <c r="Y57" s="21"/>
      <c r="Z57" s="29">
        <f>IF([5]Заяц_беляк!$M$5=0,"",[5]Заяц_беляк!$M$5)</f>
        <v>57.1</v>
      </c>
      <c r="AA57" s="29">
        <v>0</v>
      </c>
      <c r="AB57" s="29">
        <v>0</v>
      </c>
      <c r="AC57" s="29">
        <f>IF(SUM(Z57:AB57)=0,"",SUM(Z57:AB57))</f>
        <v>57.1</v>
      </c>
      <c r="AD57" s="23">
        <f>160+(AC57-50)*0.8</f>
        <v>165.68</v>
      </c>
      <c r="AE57" s="23">
        <f t="shared" si="1"/>
        <v>165.68</v>
      </c>
      <c r="AF57" s="23">
        <f t="shared" si="2"/>
        <v>0</v>
      </c>
      <c r="AG57" s="23">
        <f t="shared" si="3"/>
        <v>0</v>
      </c>
      <c r="AH57" s="23">
        <f t="shared" si="4"/>
        <v>22.090666666666667</v>
      </c>
      <c r="AI57" s="23">
        <f t="shared" si="5"/>
        <v>11.045333333333334</v>
      </c>
      <c r="AJ57" s="23">
        <f t="shared" si="6"/>
        <v>33.136000000000003</v>
      </c>
      <c r="AK57" s="30"/>
      <c r="AL57" s="30"/>
      <c r="AM57" s="30"/>
      <c r="AN57" s="30"/>
      <c r="AO57" s="24"/>
      <c r="AP57" s="44"/>
      <c r="AQ57" s="24"/>
      <c r="AR57" s="30">
        <v>57.087000000000003</v>
      </c>
      <c r="AS57" s="30"/>
      <c r="AT57" s="30"/>
      <c r="AU57" s="24"/>
      <c r="AV57" s="30"/>
    </row>
    <row r="58" spans="1:48" s="25" customFormat="1" ht="38.25" customHeight="1" x14ac:dyDescent="0.3">
      <c r="A58" s="26"/>
      <c r="B58" s="26"/>
      <c r="C58" s="16" t="s">
        <v>157</v>
      </c>
      <c r="D58" s="19" t="s">
        <v>158</v>
      </c>
      <c r="E58" s="17"/>
      <c r="F58" s="18"/>
      <c r="G58" s="27">
        <v>42039</v>
      </c>
      <c r="H58" s="28">
        <v>1</v>
      </c>
      <c r="I58" s="18" t="s">
        <v>45</v>
      </c>
      <c r="J58" s="18" t="s">
        <v>45</v>
      </c>
      <c r="K58" s="28">
        <v>1</v>
      </c>
      <c r="L58" s="18" t="s">
        <v>45</v>
      </c>
      <c r="M58" s="43" t="s">
        <v>45</v>
      </c>
      <c r="N58" s="18" t="s">
        <v>45</v>
      </c>
      <c r="O58" s="28">
        <v>1</v>
      </c>
      <c r="P58" s="28">
        <v>1</v>
      </c>
      <c r="Q58" s="28">
        <v>1</v>
      </c>
      <c r="R58" s="28">
        <v>1</v>
      </c>
      <c r="S58" s="28">
        <v>1</v>
      </c>
      <c r="T58" s="19" t="s">
        <v>159</v>
      </c>
      <c r="U58" s="20">
        <f t="shared" si="7"/>
        <v>2099</v>
      </c>
      <c r="V58" s="20">
        <v>2099</v>
      </c>
      <c r="W58" s="20"/>
      <c r="X58" s="20"/>
      <c r="Y58" s="21"/>
      <c r="Z58" s="29">
        <v>2099</v>
      </c>
      <c r="AA58" s="29">
        <v>0</v>
      </c>
      <c r="AB58" s="29">
        <v>0</v>
      </c>
      <c r="AC58" s="29">
        <v>2099</v>
      </c>
      <c r="AD58" s="23">
        <f t="shared" ref="AD58:AD61" si="30">280+(AC58-200)*0.1</f>
        <v>469.9</v>
      </c>
      <c r="AE58" s="23">
        <f t="shared" si="1"/>
        <v>469.9</v>
      </c>
      <c r="AF58" s="23">
        <f t="shared" si="2"/>
        <v>0</v>
      </c>
      <c r="AG58" s="23">
        <f t="shared" si="3"/>
        <v>0</v>
      </c>
      <c r="AH58" s="23">
        <f t="shared" si="4"/>
        <v>62.653333333333329</v>
      </c>
      <c r="AI58" s="23">
        <f t="shared" si="5"/>
        <v>31.326666666666664</v>
      </c>
      <c r="AJ58" s="23">
        <f t="shared" si="6"/>
        <v>93.97999999999999</v>
      </c>
      <c r="AK58" s="30"/>
      <c r="AL58" s="24"/>
      <c r="AM58" s="24"/>
      <c r="AN58" s="30"/>
      <c r="AO58" s="24"/>
      <c r="AP58" s="44"/>
      <c r="AQ58" s="24"/>
      <c r="AR58" s="30">
        <v>2099</v>
      </c>
      <c r="AS58" s="30"/>
      <c r="AT58" s="30"/>
      <c r="AU58" s="30"/>
      <c r="AV58" s="30"/>
    </row>
    <row r="59" spans="1:48" s="25" customFormat="1" ht="37.5" customHeight="1" x14ac:dyDescent="0.3">
      <c r="A59" s="26"/>
      <c r="B59" s="26"/>
      <c r="C59" s="16" t="s">
        <v>160</v>
      </c>
      <c r="D59" s="19"/>
      <c r="E59" s="17"/>
      <c r="F59" s="18"/>
      <c r="G59" s="27">
        <v>41923</v>
      </c>
      <c r="H59" s="28">
        <v>1</v>
      </c>
      <c r="I59" s="28">
        <v>1</v>
      </c>
      <c r="J59" s="28">
        <v>1</v>
      </c>
      <c r="K59" s="28">
        <v>1</v>
      </c>
      <c r="L59" s="18" t="s">
        <v>45</v>
      </c>
      <c r="M59" s="43" t="s">
        <v>45</v>
      </c>
      <c r="N59" s="18" t="s">
        <v>45</v>
      </c>
      <c r="O59" s="28">
        <v>1</v>
      </c>
      <c r="P59" s="18" t="s">
        <v>45</v>
      </c>
      <c r="Q59" s="28">
        <v>1</v>
      </c>
      <c r="R59" s="18" t="s">
        <v>45</v>
      </c>
      <c r="S59" s="28">
        <v>1</v>
      </c>
      <c r="T59" s="19" t="s">
        <v>161</v>
      </c>
      <c r="U59" s="20">
        <f t="shared" si="7"/>
        <v>1740.6279999999999</v>
      </c>
      <c r="V59" s="20">
        <v>1740.6279999999999</v>
      </c>
      <c r="W59" s="20"/>
      <c r="X59" s="20"/>
      <c r="Y59" s="21"/>
      <c r="Z59" s="29">
        <f>IF([6]Заяц_беляк!$M$5=0,"",[6]Заяц_беляк!$M$5)</f>
        <v>1740.63</v>
      </c>
      <c r="AA59" s="29">
        <v>0</v>
      </c>
      <c r="AB59" s="29">
        <v>0</v>
      </c>
      <c r="AC59" s="29">
        <f t="shared" ref="AC59:AC87" si="31">IF(SUM(Z59:AB59)=0,"",SUM(Z59:AB59))</f>
        <v>1740.63</v>
      </c>
      <c r="AD59" s="23">
        <f t="shared" si="30"/>
        <v>434.06299999999999</v>
      </c>
      <c r="AE59" s="23">
        <f t="shared" si="1"/>
        <v>434.06299999999999</v>
      </c>
      <c r="AF59" s="23">
        <f t="shared" si="2"/>
        <v>0</v>
      </c>
      <c r="AG59" s="23">
        <f t="shared" si="3"/>
        <v>0</v>
      </c>
      <c r="AH59" s="23">
        <f t="shared" si="4"/>
        <v>57.875066666666669</v>
      </c>
      <c r="AI59" s="23">
        <f t="shared" si="5"/>
        <v>28.937533333333331</v>
      </c>
      <c r="AJ59" s="23">
        <f t="shared" si="6"/>
        <v>86.812600000000003</v>
      </c>
      <c r="AK59" s="30"/>
      <c r="AL59" s="30"/>
      <c r="AM59" s="30"/>
      <c r="AN59" s="30"/>
      <c r="AO59" s="24"/>
      <c r="AP59" s="44"/>
      <c r="AQ59" s="24"/>
      <c r="AR59" s="30">
        <v>1740.6279999999999</v>
      </c>
      <c r="AS59" s="24"/>
      <c r="AT59" s="30"/>
      <c r="AU59" s="24"/>
      <c r="AV59" s="30"/>
    </row>
    <row r="60" spans="1:48" s="42" customFormat="1" x14ac:dyDescent="0.3">
      <c r="A60" s="31"/>
      <c r="B60" s="31"/>
      <c r="C60" s="32" t="s">
        <v>52</v>
      </c>
      <c r="D60" s="33"/>
      <c r="E60" s="34"/>
      <c r="F60" s="35"/>
      <c r="G60" s="36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3"/>
      <c r="U60" s="45">
        <f t="shared" ref="U60:AC60" si="32">SUM(U55:U59)</f>
        <v>5172.26</v>
      </c>
      <c r="V60" s="45">
        <f t="shared" si="32"/>
        <v>4891.66</v>
      </c>
      <c r="W60" s="45">
        <f t="shared" si="32"/>
        <v>0</v>
      </c>
      <c r="X60" s="45">
        <f t="shared" si="32"/>
        <v>0</v>
      </c>
      <c r="Y60" s="38">
        <f t="shared" si="32"/>
        <v>5174.2</v>
      </c>
      <c r="Z60" s="39">
        <f t="shared" si="32"/>
        <v>5172.2749999999996</v>
      </c>
      <c r="AA60" s="39">
        <f t="shared" si="32"/>
        <v>0</v>
      </c>
      <c r="AB60" s="39">
        <f t="shared" si="32"/>
        <v>0</v>
      </c>
      <c r="AC60" s="39">
        <f t="shared" si="32"/>
        <v>5172.2749999999996</v>
      </c>
      <c r="AD60" s="40">
        <f t="shared" si="30"/>
        <v>777.22749999999996</v>
      </c>
      <c r="AE60" s="40">
        <f t="shared" si="1"/>
        <v>777.22749999999996</v>
      </c>
      <c r="AF60" s="40">
        <f t="shared" si="2"/>
        <v>0</v>
      </c>
      <c r="AG60" s="40">
        <f t="shared" si="3"/>
        <v>0</v>
      </c>
      <c r="AH60" s="40">
        <f t="shared" si="4"/>
        <v>103.63033333333333</v>
      </c>
      <c r="AI60" s="40">
        <f t="shared" si="5"/>
        <v>51.815166666666663</v>
      </c>
      <c r="AJ60" s="40">
        <f t="shared" si="6"/>
        <v>155.44549999999998</v>
      </c>
      <c r="AK60" s="41"/>
      <c r="AL60" s="41"/>
      <c r="AM60" s="41"/>
      <c r="AN60" s="41"/>
      <c r="AO60" s="41"/>
      <c r="AP60" s="41"/>
      <c r="AQ60" s="41"/>
      <c r="AR60" s="41">
        <v>5172.26</v>
      </c>
      <c r="AS60" s="41"/>
      <c r="AT60" s="41"/>
      <c r="AU60" s="41"/>
      <c r="AV60" s="41"/>
    </row>
    <row r="61" spans="1:48" s="25" customFormat="1" ht="19.5" customHeight="1" x14ac:dyDescent="0.3">
      <c r="A61" s="15">
        <v>8</v>
      </c>
      <c r="B61" s="15" t="s">
        <v>162</v>
      </c>
      <c r="C61" s="16" t="s">
        <v>43</v>
      </c>
      <c r="D61" s="19"/>
      <c r="E61" s="17"/>
      <c r="F61" s="18"/>
      <c r="G61" s="17"/>
      <c r="H61" s="18"/>
      <c r="I61" s="18"/>
      <c r="J61" s="43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20">
        <v>218.5</v>
      </c>
      <c r="V61" s="20"/>
      <c r="W61" s="20"/>
      <c r="X61" s="20"/>
      <c r="Y61" s="21">
        <v>594.79999999999995</v>
      </c>
      <c r="Z61" s="60">
        <v>208.6</v>
      </c>
      <c r="AA61" s="60">
        <v>8.9</v>
      </c>
      <c r="AB61" s="60">
        <v>1</v>
      </c>
      <c r="AC61" s="60">
        <f t="shared" si="31"/>
        <v>218.5</v>
      </c>
      <c r="AD61" s="23">
        <f t="shared" si="30"/>
        <v>281.85000000000002</v>
      </c>
      <c r="AE61" s="23">
        <f t="shared" si="1"/>
        <v>269.07967963386727</v>
      </c>
      <c r="AF61" s="23">
        <f t="shared" si="2"/>
        <v>11.480389016018307</v>
      </c>
      <c r="AG61" s="23">
        <f t="shared" si="3"/>
        <v>1.2899313501144165</v>
      </c>
      <c r="AH61" s="23">
        <f t="shared" si="4"/>
        <v>37.580000000000005</v>
      </c>
      <c r="AI61" s="23">
        <f t="shared" si="5"/>
        <v>18.790000000000003</v>
      </c>
      <c r="AJ61" s="23">
        <f t="shared" si="6"/>
        <v>56.370000000000005</v>
      </c>
      <c r="AK61" s="24"/>
      <c r="AL61" s="24"/>
      <c r="AM61" s="44"/>
      <c r="AN61" s="24"/>
      <c r="AO61" s="24"/>
      <c r="AP61" s="24"/>
      <c r="AQ61" s="24"/>
      <c r="AR61" s="24">
        <v>234.9</v>
      </c>
      <c r="AS61" s="24"/>
      <c r="AT61" s="24"/>
      <c r="AU61" s="24"/>
      <c r="AV61" s="24"/>
    </row>
    <row r="62" spans="1:48" s="25" customFormat="1" ht="37.5" customHeight="1" x14ac:dyDescent="0.3">
      <c r="A62" s="26">
        <v>54</v>
      </c>
      <c r="B62" s="26"/>
      <c r="C62" s="16" t="s">
        <v>163</v>
      </c>
      <c r="D62" s="19" t="s">
        <v>164</v>
      </c>
      <c r="E62" s="17">
        <v>40833</v>
      </c>
      <c r="F62" s="18">
        <v>22</v>
      </c>
      <c r="G62" s="17"/>
      <c r="H62" s="28">
        <v>1</v>
      </c>
      <c r="I62" s="18" t="s">
        <v>45</v>
      </c>
      <c r="J62" s="43">
        <v>1</v>
      </c>
      <c r="K62" s="18" t="s">
        <v>45</v>
      </c>
      <c r="L62" s="18" t="s">
        <v>45</v>
      </c>
      <c r="M62" s="18" t="s">
        <v>45</v>
      </c>
      <c r="N62" s="18" t="s">
        <v>45</v>
      </c>
      <c r="O62" s="28">
        <v>1</v>
      </c>
      <c r="P62" s="28">
        <v>1</v>
      </c>
      <c r="Q62" s="28">
        <v>1</v>
      </c>
      <c r="R62" s="28">
        <v>1</v>
      </c>
      <c r="S62" s="18" t="s">
        <v>45</v>
      </c>
      <c r="T62" s="19" t="s">
        <v>165</v>
      </c>
      <c r="U62" s="20">
        <f t="shared" si="7"/>
        <v>99.677000000000007</v>
      </c>
      <c r="V62" s="20">
        <v>99.677000000000007</v>
      </c>
      <c r="W62" s="20"/>
      <c r="X62" s="20"/>
      <c r="Y62" s="21"/>
      <c r="Z62" s="29">
        <v>99.677000000000007</v>
      </c>
      <c r="AA62" s="29">
        <v>0</v>
      </c>
      <c r="AB62" s="29">
        <v>0</v>
      </c>
      <c r="AC62" s="29">
        <f t="shared" si="31"/>
        <v>99.677000000000007</v>
      </c>
      <c r="AD62" s="23">
        <f>160+(AC62-50)*0.8</f>
        <v>199.74160000000001</v>
      </c>
      <c r="AE62" s="23">
        <f t="shared" si="1"/>
        <v>199.74160000000001</v>
      </c>
      <c r="AF62" s="23">
        <f t="shared" si="2"/>
        <v>0</v>
      </c>
      <c r="AG62" s="23">
        <f t="shared" si="3"/>
        <v>0</v>
      </c>
      <c r="AH62" s="23">
        <f t="shared" si="4"/>
        <v>26.632213333333333</v>
      </c>
      <c r="AI62" s="23">
        <f t="shared" si="5"/>
        <v>13.316106666666666</v>
      </c>
      <c r="AJ62" s="23">
        <f t="shared" si="6"/>
        <v>39.948320000000002</v>
      </c>
      <c r="AK62" s="30"/>
      <c r="AL62" s="24"/>
      <c r="AM62" s="44"/>
      <c r="AN62" s="24"/>
      <c r="AO62" s="24"/>
      <c r="AP62" s="24"/>
      <c r="AQ62" s="24"/>
      <c r="AR62" s="30">
        <v>99.677000000000007</v>
      </c>
      <c r="AS62" s="30"/>
      <c r="AT62" s="30"/>
      <c r="AU62" s="30"/>
      <c r="AV62" s="24"/>
    </row>
    <row r="63" spans="1:48" s="25" customFormat="1" ht="38.25" customHeight="1" x14ac:dyDescent="0.3">
      <c r="A63" s="26">
        <v>55</v>
      </c>
      <c r="B63" s="26"/>
      <c r="C63" s="16" t="s">
        <v>166</v>
      </c>
      <c r="D63" s="19" t="s">
        <v>167</v>
      </c>
      <c r="E63" s="17">
        <v>41883</v>
      </c>
      <c r="F63" s="18">
        <v>114</v>
      </c>
      <c r="G63" s="17"/>
      <c r="H63" s="28">
        <v>1</v>
      </c>
      <c r="I63" s="18" t="s">
        <v>45</v>
      </c>
      <c r="J63" s="43">
        <v>1</v>
      </c>
      <c r="K63" s="18" t="s">
        <v>45</v>
      </c>
      <c r="L63" s="18" t="s">
        <v>45</v>
      </c>
      <c r="M63" s="18" t="s">
        <v>45</v>
      </c>
      <c r="N63" s="18" t="s">
        <v>45</v>
      </c>
      <c r="O63" s="28">
        <v>1</v>
      </c>
      <c r="P63" s="28">
        <v>1</v>
      </c>
      <c r="Q63" s="28">
        <v>1</v>
      </c>
      <c r="R63" s="28">
        <v>1</v>
      </c>
      <c r="S63" s="28">
        <v>1</v>
      </c>
      <c r="T63" s="19" t="s">
        <v>168</v>
      </c>
      <c r="U63" s="20">
        <f t="shared" si="7"/>
        <v>16.286000000000001</v>
      </c>
      <c r="V63" s="20">
        <v>16.286000000000001</v>
      </c>
      <c r="W63" s="20"/>
      <c r="X63" s="20"/>
      <c r="Y63" s="21"/>
      <c r="Z63" s="29">
        <v>16.286000000000001</v>
      </c>
      <c r="AA63" s="29">
        <v>0</v>
      </c>
      <c r="AB63" s="29">
        <v>0</v>
      </c>
      <c r="AC63" s="29">
        <f t="shared" si="31"/>
        <v>16.286000000000001</v>
      </c>
      <c r="AD63" s="23">
        <f t="shared" ref="AD63:AD64" si="33">50+(AC63-10)*5</f>
        <v>81.430000000000007</v>
      </c>
      <c r="AE63" s="23">
        <f t="shared" si="1"/>
        <v>81.430000000000007</v>
      </c>
      <c r="AF63" s="23">
        <f t="shared" si="2"/>
        <v>0</v>
      </c>
      <c r="AG63" s="23">
        <f t="shared" si="3"/>
        <v>0</v>
      </c>
      <c r="AH63" s="23">
        <f t="shared" si="4"/>
        <v>10.857333333333335</v>
      </c>
      <c r="AI63" s="23">
        <f t="shared" si="5"/>
        <v>5.4286666666666674</v>
      </c>
      <c r="AJ63" s="23">
        <f t="shared" si="6"/>
        <v>16.286000000000001</v>
      </c>
      <c r="AK63" s="30"/>
      <c r="AL63" s="24"/>
      <c r="AM63" s="44"/>
      <c r="AN63" s="24"/>
      <c r="AO63" s="24"/>
      <c r="AP63" s="24"/>
      <c r="AQ63" s="24"/>
      <c r="AR63" s="30">
        <v>16.286000000000001</v>
      </c>
      <c r="AS63" s="30"/>
      <c r="AT63" s="30"/>
      <c r="AU63" s="30"/>
      <c r="AV63" s="30"/>
    </row>
    <row r="64" spans="1:48" s="25" customFormat="1" ht="33.75" customHeight="1" x14ac:dyDescent="0.3">
      <c r="A64" s="26">
        <v>56</v>
      </c>
      <c r="B64" s="26"/>
      <c r="C64" s="16" t="s">
        <v>169</v>
      </c>
      <c r="D64" s="19" t="s">
        <v>170</v>
      </c>
      <c r="E64" s="17">
        <v>40738</v>
      </c>
      <c r="F64" s="18">
        <v>16</v>
      </c>
      <c r="G64" s="17"/>
      <c r="H64" s="28">
        <v>1</v>
      </c>
      <c r="I64" s="18" t="s">
        <v>45</v>
      </c>
      <c r="J64" s="43">
        <v>1</v>
      </c>
      <c r="K64" s="18" t="s">
        <v>45</v>
      </c>
      <c r="L64" s="18" t="s">
        <v>45</v>
      </c>
      <c r="M64" s="18" t="s">
        <v>45</v>
      </c>
      <c r="N64" s="18" t="s">
        <v>45</v>
      </c>
      <c r="O64" s="28">
        <v>1</v>
      </c>
      <c r="P64" s="28">
        <v>1</v>
      </c>
      <c r="Q64" s="28">
        <v>1</v>
      </c>
      <c r="R64" s="28">
        <v>1</v>
      </c>
      <c r="S64" s="18" t="s">
        <v>45</v>
      </c>
      <c r="T64" s="19" t="s">
        <v>165</v>
      </c>
      <c r="U64" s="20">
        <f t="shared" si="7"/>
        <v>16.164999999999999</v>
      </c>
      <c r="V64" s="20">
        <v>16.164999999999999</v>
      </c>
      <c r="W64" s="20"/>
      <c r="X64" s="20"/>
      <c r="Y64" s="21"/>
      <c r="Z64" s="29">
        <v>16.164999999999999</v>
      </c>
      <c r="AA64" s="29">
        <v>0</v>
      </c>
      <c r="AB64" s="29">
        <v>0</v>
      </c>
      <c r="AC64" s="29">
        <f t="shared" si="31"/>
        <v>16.164999999999999</v>
      </c>
      <c r="AD64" s="23">
        <f t="shared" si="33"/>
        <v>80.824999999999989</v>
      </c>
      <c r="AE64" s="23">
        <f t="shared" si="1"/>
        <v>80.824999999999989</v>
      </c>
      <c r="AF64" s="23">
        <f t="shared" si="2"/>
        <v>0</v>
      </c>
      <c r="AG64" s="23">
        <f t="shared" si="3"/>
        <v>0</v>
      </c>
      <c r="AH64" s="23">
        <f t="shared" si="4"/>
        <v>10.776666666666666</v>
      </c>
      <c r="AI64" s="23">
        <f t="shared" si="5"/>
        <v>5.3883333333333328</v>
      </c>
      <c r="AJ64" s="23">
        <f t="shared" si="6"/>
        <v>16.164999999999999</v>
      </c>
      <c r="AK64" s="30"/>
      <c r="AL64" s="24"/>
      <c r="AM64" s="44"/>
      <c r="AN64" s="24"/>
      <c r="AO64" s="24"/>
      <c r="AP64" s="24"/>
      <c r="AQ64" s="24"/>
      <c r="AR64" s="30">
        <v>16.164999999999999</v>
      </c>
      <c r="AS64" s="30"/>
      <c r="AT64" s="30"/>
      <c r="AU64" s="30"/>
      <c r="AV64" s="24"/>
    </row>
    <row r="65" spans="1:48" s="25" customFormat="1" ht="57" customHeight="1" x14ac:dyDescent="0.3">
      <c r="A65" s="26">
        <v>57</v>
      </c>
      <c r="B65" s="26"/>
      <c r="C65" s="16" t="s">
        <v>85</v>
      </c>
      <c r="D65" s="19" t="s">
        <v>122</v>
      </c>
      <c r="E65" s="17"/>
      <c r="F65" s="18"/>
      <c r="G65" s="17" t="s">
        <v>171</v>
      </c>
      <c r="H65" s="28">
        <v>1</v>
      </c>
      <c r="I65" s="18" t="s">
        <v>45</v>
      </c>
      <c r="J65" s="43">
        <v>1</v>
      </c>
      <c r="K65" s="18" t="s">
        <v>45</v>
      </c>
      <c r="L65" s="18" t="s">
        <v>45</v>
      </c>
      <c r="M65" s="18" t="s">
        <v>45</v>
      </c>
      <c r="N65" s="18" t="s">
        <v>45</v>
      </c>
      <c r="O65" s="28">
        <v>1</v>
      </c>
      <c r="P65" s="28">
        <v>1</v>
      </c>
      <c r="Q65" s="28">
        <v>1</v>
      </c>
      <c r="R65" s="28">
        <v>1</v>
      </c>
      <c r="S65" s="28">
        <v>1</v>
      </c>
      <c r="T65" s="19" t="s">
        <v>172</v>
      </c>
      <c r="U65" s="20">
        <f t="shared" si="7"/>
        <v>212.25</v>
      </c>
      <c r="V65" s="20">
        <v>127.267</v>
      </c>
      <c r="W65" s="20">
        <v>84.983000000000004</v>
      </c>
      <c r="X65" s="20"/>
      <c r="Y65" s="21"/>
      <c r="Z65" s="29">
        <v>180.18</v>
      </c>
      <c r="AA65" s="29">
        <v>31.9</v>
      </c>
      <c r="AB65" s="29">
        <v>0.17</v>
      </c>
      <c r="AC65" s="29">
        <f t="shared" si="31"/>
        <v>212.25</v>
      </c>
      <c r="AD65" s="23">
        <f>280+(AC65-200)*0.1</f>
        <v>281.22500000000002</v>
      </c>
      <c r="AE65" s="23">
        <f t="shared" si="1"/>
        <v>238.73319434628976</v>
      </c>
      <c r="AF65" s="23">
        <f t="shared" si="2"/>
        <v>42.266560659599527</v>
      </c>
      <c r="AG65" s="23">
        <f t="shared" si="3"/>
        <v>0.22524499411071852</v>
      </c>
      <c r="AH65" s="23">
        <f t="shared" si="4"/>
        <v>37.49666666666667</v>
      </c>
      <c r="AI65" s="23">
        <f t="shared" si="5"/>
        <v>18.748333333333335</v>
      </c>
      <c r="AJ65" s="23">
        <f t="shared" si="6"/>
        <v>56.245000000000005</v>
      </c>
      <c r="AK65" s="30"/>
      <c r="AL65" s="24"/>
      <c r="AM65" s="44"/>
      <c r="AN65" s="24"/>
      <c r="AO65" s="24"/>
      <c r="AP65" s="24"/>
      <c r="AQ65" s="24"/>
      <c r="AR65" s="30">
        <v>178.7</v>
      </c>
      <c r="AS65" s="30"/>
      <c r="AT65" s="30"/>
      <c r="AU65" s="30"/>
      <c r="AV65" s="30"/>
    </row>
    <row r="66" spans="1:48" s="25" customFormat="1" ht="42" customHeight="1" x14ac:dyDescent="0.3">
      <c r="A66" s="26">
        <v>58</v>
      </c>
      <c r="B66" s="26"/>
      <c r="C66" s="16" t="s">
        <v>173</v>
      </c>
      <c r="D66" s="19" t="s">
        <v>174</v>
      </c>
      <c r="E66" s="17">
        <v>41607</v>
      </c>
      <c r="F66" s="18">
        <v>79</v>
      </c>
      <c r="G66" s="17" t="s">
        <v>175</v>
      </c>
      <c r="H66" s="28">
        <v>1</v>
      </c>
      <c r="I66" s="18" t="s">
        <v>45</v>
      </c>
      <c r="J66" s="43" t="s">
        <v>45</v>
      </c>
      <c r="K66" s="18" t="s">
        <v>45</v>
      </c>
      <c r="L66" s="18" t="s">
        <v>45</v>
      </c>
      <c r="M66" s="18" t="s">
        <v>45</v>
      </c>
      <c r="N66" s="18" t="s">
        <v>45</v>
      </c>
      <c r="O66" s="28">
        <v>1</v>
      </c>
      <c r="P66" s="28">
        <v>1</v>
      </c>
      <c r="Q66" s="28">
        <v>1</v>
      </c>
      <c r="R66" s="28">
        <v>1</v>
      </c>
      <c r="S66" s="28">
        <v>1</v>
      </c>
      <c r="T66" s="19" t="s">
        <v>135</v>
      </c>
      <c r="U66" s="20">
        <f t="shared" si="7"/>
        <v>31.841999999999999</v>
      </c>
      <c r="V66" s="20">
        <v>29.375</v>
      </c>
      <c r="W66" s="20">
        <v>0</v>
      </c>
      <c r="X66" s="20">
        <v>2.4670000000000001</v>
      </c>
      <c r="Y66" s="21" t="s">
        <v>176</v>
      </c>
      <c r="Z66" s="29">
        <v>31.8</v>
      </c>
      <c r="AA66" s="29">
        <v>0</v>
      </c>
      <c r="AB66" s="29">
        <v>0</v>
      </c>
      <c r="AC66" s="29">
        <f t="shared" si="31"/>
        <v>31.8</v>
      </c>
      <c r="AD66" s="23">
        <f>100+(AC66-20)*2</f>
        <v>123.6</v>
      </c>
      <c r="AE66" s="23">
        <f t="shared" si="1"/>
        <v>123.6</v>
      </c>
      <c r="AF66" s="23">
        <f t="shared" si="2"/>
        <v>0</v>
      </c>
      <c r="AG66" s="23">
        <f t="shared" si="3"/>
        <v>0</v>
      </c>
      <c r="AH66" s="23">
        <f t="shared" si="4"/>
        <v>16.48</v>
      </c>
      <c r="AI66" s="23">
        <f t="shared" si="5"/>
        <v>8.24</v>
      </c>
      <c r="AJ66" s="23">
        <f t="shared" si="6"/>
        <v>24.72</v>
      </c>
      <c r="AK66" s="30"/>
      <c r="AL66" s="24"/>
      <c r="AM66" s="44"/>
      <c r="AN66" s="24"/>
      <c r="AO66" s="24"/>
      <c r="AP66" s="24"/>
      <c r="AQ66" s="24"/>
      <c r="AR66" s="30">
        <v>31.841999999999999</v>
      </c>
      <c r="AS66" s="30"/>
      <c r="AT66" s="30"/>
      <c r="AU66" s="30"/>
      <c r="AV66" s="30"/>
    </row>
    <row r="67" spans="1:48" s="42" customFormat="1" x14ac:dyDescent="0.3">
      <c r="A67" s="31"/>
      <c r="B67" s="31"/>
      <c r="C67" s="32" t="s">
        <v>52</v>
      </c>
      <c r="D67" s="33"/>
      <c r="E67" s="34"/>
      <c r="F67" s="35"/>
      <c r="G67" s="36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3"/>
      <c r="U67" s="45">
        <f t="shared" ref="U67:AC67" si="34">SUM(U61:U66)</f>
        <v>594.72</v>
      </c>
      <c r="V67" s="45">
        <f t="shared" si="34"/>
        <v>288.77</v>
      </c>
      <c r="W67" s="45">
        <f t="shared" si="34"/>
        <v>84.983000000000004</v>
      </c>
      <c r="X67" s="45">
        <f t="shared" si="34"/>
        <v>2.4670000000000001</v>
      </c>
      <c r="Y67" s="38">
        <f t="shared" si="34"/>
        <v>594.79999999999995</v>
      </c>
      <c r="Z67" s="39">
        <f t="shared" si="34"/>
        <v>552.70799999999997</v>
      </c>
      <c r="AA67" s="39">
        <f t="shared" si="34"/>
        <v>40.799999999999997</v>
      </c>
      <c r="AB67" s="39">
        <f t="shared" si="34"/>
        <v>1.17</v>
      </c>
      <c r="AC67" s="39">
        <f t="shared" si="34"/>
        <v>594.678</v>
      </c>
      <c r="AD67" s="40">
        <f>280+(AC67-200)*0.1</f>
        <v>319.46780000000001</v>
      </c>
      <c r="AE67" s="40">
        <f t="shared" si="1"/>
        <v>296.92103760757919</v>
      </c>
      <c r="AF67" s="40">
        <f t="shared" si="2"/>
        <v>21.918225056248929</v>
      </c>
      <c r="AG67" s="40">
        <f t="shared" si="3"/>
        <v>0.62853733617184426</v>
      </c>
      <c r="AH67" s="40">
        <f t="shared" si="4"/>
        <v>42.595706666666665</v>
      </c>
      <c r="AI67" s="40">
        <f t="shared" si="5"/>
        <v>21.297853333333332</v>
      </c>
      <c r="AJ67" s="40">
        <f t="shared" si="6"/>
        <v>63.893560000000001</v>
      </c>
      <c r="AK67" s="41"/>
      <c r="AL67" s="41"/>
      <c r="AM67" s="41"/>
      <c r="AN67" s="41"/>
      <c r="AO67" s="41"/>
      <c r="AP67" s="41"/>
      <c r="AQ67" s="41"/>
      <c r="AR67" s="41">
        <v>577.57000000000005</v>
      </c>
      <c r="AS67" s="41"/>
      <c r="AT67" s="41"/>
      <c r="AU67" s="41"/>
      <c r="AV67" s="41"/>
    </row>
    <row r="68" spans="1:48" s="25" customFormat="1" ht="19.5" customHeight="1" x14ac:dyDescent="0.3">
      <c r="A68" s="15">
        <v>9</v>
      </c>
      <c r="B68" s="15" t="s">
        <v>177</v>
      </c>
      <c r="C68" s="16" t="s">
        <v>43</v>
      </c>
      <c r="D68" s="19"/>
      <c r="E68" s="17"/>
      <c r="F68" s="18"/>
      <c r="G68" s="17"/>
      <c r="H68" s="18"/>
      <c r="I68" s="18"/>
      <c r="J68" s="43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20">
        <v>49.4</v>
      </c>
      <c r="V68" s="20"/>
      <c r="W68" s="20"/>
      <c r="X68" s="20"/>
      <c r="Y68" s="21">
        <v>243.2</v>
      </c>
      <c r="Z68" s="48">
        <v>49.4</v>
      </c>
      <c r="AA68" s="48">
        <v>0</v>
      </c>
      <c r="AB68" s="48">
        <v>0</v>
      </c>
      <c r="AC68" s="48">
        <f t="shared" si="31"/>
        <v>49.4</v>
      </c>
      <c r="AD68" s="23">
        <f>100+(AC68-20)*2</f>
        <v>158.80000000000001</v>
      </c>
      <c r="AE68" s="23">
        <f t="shared" si="1"/>
        <v>158.80000000000001</v>
      </c>
      <c r="AF68" s="23">
        <f t="shared" si="2"/>
        <v>0</v>
      </c>
      <c r="AG68" s="23">
        <f t="shared" si="3"/>
        <v>0</v>
      </c>
      <c r="AH68" s="23">
        <f t="shared" si="4"/>
        <v>21.173333333333336</v>
      </c>
      <c r="AI68" s="23">
        <f t="shared" si="5"/>
        <v>10.586666666666668</v>
      </c>
      <c r="AJ68" s="23">
        <f t="shared" si="6"/>
        <v>31.76</v>
      </c>
      <c r="AK68" s="24"/>
      <c r="AL68" s="24"/>
      <c r="AM68" s="44"/>
      <c r="AN68" s="24"/>
      <c r="AO68" s="24"/>
      <c r="AP68" s="24"/>
      <c r="AQ68" s="24"/>
      <c r="AR68" s="24">
        <v>45</v>
      </c>
      <c r="AS68" s="24"/>
      <c r="AT68" s="24"/>
      <c r="AU68" s="24"/>
      <c r="AV68" s="24"/>
    </row>
    <row r="69" spans="1:48" s="25" customFormat="1" ht="37.5" customHeight="1" x14ac:dyDescent="0.3">
      <c r="A69" s="26">
        <v>61</v>
      </c>
      <c r="B69" s="26"/>
      <c r="C69" s="16" t="s">
        <v>178</v>
      </c>
      <c r="D69" s="19" t="s">
        <v>179</v>
      </c>
      <c r="E69" s="17">
        <v>41059</v>
      </c>
      <c r="F69" s="18">
        <v>44</v>
      </c>
      <c r="G69" s="17"/>
      <c r="H69" s="28">
        <v>1</v>
      </c>
      <c r="I69" s="28">
        <v>1</v>
      </c>
      <c r="J69" s="43">
        <v>1</v>
      </c>
      <c r="K69" s="18" t="s">
        <v>45</v>
      </c>
      <c r="L69" s="18" t="s">
        <v>45</v>
      </c>
      <c r="M69" s="18" t="s">
        <v>45</v>
      </c>
      <c r="N69" s="18" t="s">
        <v>45</v>
      </c>
      <c r="O69" s="28">
        <v>1</v>
      </c>
      <c r="P69" s="28">
        <v>1</v>
      </c>
      <c r="Q69" s="28">
        <v>1</v>
      </c>
      <c r="R69" s="28">
        <v>1</v>
      </c>
      <c r="S69" s="28">
        <v>1</v>
      </c>
      <c r="T69" s="19" t="s">
        <v>180</v>
      </c>
      <c r="U69" s="20">
        <f t="shared" si="7"/>
        <v>193.7987</v>
      </c>
      <c r="V69" s="20">
        <v>98.171700000000001</v>
      </c>
      <c r="W69" s="20">
        <v>93.111000000000004</v>
      </c>
      <c r="X69" s="20">
        <v>2.516</v>
      </c>
      <c r="Y69" s="21" t="s">
        <v>136</v>
      </c>
      <c r="Z69" s="50">
        <v>99.8</v>
      </c>
      <c r="AA69" s="50">
        <v>80</v>
      </c>
      <c r="AB69" s="50">
        <v>14</v>
      </c>
      <c r="AC69" s="50">
        <f t="shared" si="31"/>
        <v>193.8</v>
      </c>
      <c r="AD69" s="23">
        <f>160+(AC69-50)*0.8</f>
        <v>275.04000000000002</v>
      </c>
      <c r="AE69" s="23">
        <f t="shared" si="1"/>
        <v>141.63566563467492</v>
      </c>
      <c r="AF69" s="23">
        <f t="shared" si="2"/>
        <v>113.53560371517028</v>
      </c>
      <c r="AG69" s="23">
        <f t="shared" si="3"/>
        <v>19.868730650154799</v>
      </c>
      <c r="AH69" s="23">
        <f t="shared" si="4"/>
        <v>36.672000000000004</v>
      </c>
      <c r="AI69" s="23">
        <f t="shared" si="5"/>
        <v>18.336000000000002</v>
      </c>
      <c r="AJ69" s="23">
        <f t="shared" si="6"/>
        <v>55.008000000000003</v>
      </c>
      <c r="AK69" s="30"/>
      <c r="AL69" s="30"/>
      <c r="AM69" s="44"/>
      <c r="AN69" s="24"/>
      <c r="AO69" s="24"/>
      <c r="AP69" s="24"/>
      <c r="AQ69" s="24"/>
      <c r="AR69" s="30">
        <v>120</v>
      </c>
      <c r="AS69" s="30"/>
      <c r="AT69" s="30"/>
      <c r="AU69" s="30"/>
      <c r="AV69" s="30"/>
    </row>
    <row r="70" spans="1:48" s="42" customFormat="1" x14ac:dyDescent="0.3">
      <c r="A70" s="31"/>
      <c r="B70" s="31"/>
      <c r="C70" s="32" t="s">
        <v>52</v>
      </c>
      <c r="D70" s="33"/>
      <c r="E70" s="34"/>
      <c r="F70" s="35"/>
      <c r="G70" s="36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3"/>
      <c r="U70" s="45">
        <f t="shared" ref="U70:AC70" si="35">SUM(U68:U69)</f>
        <v>243.1987</v>
      </c>
      <c r="V70" s="45">
        <f t="shared" si="35"/>
        <v>98.171700000000001</v>
      </c>
      <c r="W70" s="45">
        <f t="shared" si="35"/>
        <v>93.111000000000004</v>
      </c>
      <c r="X70" s="45">
        <f t="shared" si="35"/>
        <v>2.516</v>
      </c>
      <c r="Y70" s="38">
        <f t="shared" si="35"/>
        <v>243.2</v>
      </c>
      <c r="Z70" s="39">
        <f t="shared" si="35"/>
        <v>149.19999999999999</v>
      </c>
      <c r="AA70" s="39">
        <f t="shared" si="35"/>
        <v>80</v>
      </c>
      <c r="AB70" s="39">
        <f t="shared" si="35"/>
        <v>14</v>
      </c>
      <c r="AC70" s="39">
        <f t="shared" si="35"/>
        <v>243.20000000000002</v>
      </c>
      <c r="AD70" s="40">
        <f>280+(AC70-200)*0.1</f>
        <v>284.32</v>
      </c>
      <c r="AE70" s="40">
        <f t="shared" ref="AE70:AE133" si="36">AD70*Z70/AC70</f>
        <v>174.4265789473684</v>
      </c>
      <c r="AF70" s="40">
        <f t="shared" ref="AF70:AF133" si="37">AD70*AA70/AC70</f>
        <v>93.526315789473671</v>
      </c>
      <c r="AG70" s="40">
        <f t="shared" ref="AG70:AG133" si="38">AD70*AB70/AC70</f>
        <v>16.367105263157892</v>
      </c>
      <c r="AH70" s="40">
        <f t="shared" ref="AH70:AH133" si="39">AVERAGE(AI70:AJ70)</f>
        <v>37.909333333333329</v>
      </c>
      <c r="AI70" s="40">
        <f t="shared" ref="AI70:AI133" si="40">AD70/15</f>
        <v>18.954666666666665</v>
      </c>
      <c r="AJ70" s="40">
        <f t="shared" ref="AJ70:AJ133" si="41">AD70/5</f>
        <v>56.863999999999997</v>
      </c>
      <c r="AK70" s="41"/>
      <c r="AL70" s="41"/>
      <c r="AM70" s="41"/>
      <c r="AN70" s="41"/>
      <c r="AO70" s="41"/>
      <c r="AP70" s="41"/>
      <c r="AQ70" s="41"/>
      <c r="AR70" s="41">
        <v>165</v>
      </c>
      <c r="AS70" s="41"/>
      <c r="AT70" s="41"/>
      <c r="AU70" s="41"/>
      <c r="AV70" s="41"/>
    </row>
    <row r="71" spans="1:48" s="25" customFormat="1" ht="21.75" customHeight="1" x14ac:dyDescent="0.3">
      <c r="A71" s="15">
        <v>10</v>
      </c>
      <c r="B71" s="15" t="s">
        <v>181</v>
      </c>
      <c r="C71" s="16" t="s">
        <v>43</v>
      </c>
      <c r="D71" s="19"/>
      <c r="E71" s="17"/>
      <c r="F71" s="18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20">
        <v>69.3</v>
      </c>
      <c r="V71" s="20"/>
      <c r="W71" s="20"/>
      <c r="X71" s="20"/>
      <c r="Y71" s="21">
        <v>328.9</v>
      </c>
      <c r="Z71" s="48">
        <v>69.3</v>
      </c>
      <c r="AA71" s="48">
        <v>0</v>
      </c>
      <c r="AB71" s="48">
        <v>0</v>
      </c>
      <c r="AC71" s="48">
        <f t="shared" si="31"/>
        <v>69.3</v>
      </c>
      <c r="AD71" s="23">
        <f t="shared" ref="AD71:AD73" si="42">160+(AC71-50)*0.8</f>
        <v>175.44</v>
      </c>
      <c r="AE71" s="23">
        <f t="shared" si="36"/>
        <v>175.44</v>
      </c>
      <c r="AF71" s="23">
        <f t="shared" si="37"/>
        <v>0</v>
      </c>
      <c r="AG71" s="23">
        <f t="shared" si="38"/>
        <v>0</v>
      </c>
      <c r="AH71" s="23">
        <f t="shared" si="39"/>
        <v>23.391999999999999</v>
      </c>
      <c r="AI71" s="23">
        <f t="shared" si="40"/>
        <v>11.696</v>
      </c>
      <c r="AJ71" s="23">
        <f t="shared" si="41"/>
        <v>35.088000000000001</v>
      </c>
      <c r="AK71" s="24"/>
      <c r="AL71" s="24"/>
      <c r="AM71" s="24"/>
      <c r="AN71" s="24"/>
      <c r="AO71" s="24"/>
      <c r="AP71" s="24"/>
      <c r="AQ71" s="24"/>
      <c r="AR71" s="24">
        <v>40</v>
      </c>
      <c r="AS71" s="24"/>
      <c r="AT71" s="24"/>
      <c r="AU71" s="24"/>
      <c r="AV71" s="24"/>
    </row>
    <row r="72" spans="1:48" s="25" customFormat="1" ht="36.75" customHeight="1" x14ac:dyDescent="0.3">
      <c r="A72" s="26"/>
      <c r="B72" s="26"/>
      <c r="C72" s="16" t="s">
        <v>182</v>
      </c>
      <c r="D72" s="19" t="s">
        <v>183</v>
      </c>
      <c r="E72" s="17">
        <v>41486</v>
      </c>
      <c r="F72" s="18">
        <v>68</v>
      </c>
      <c r="G72" s="17"/>
      <c r="H72" s="28">
        <v>1</v>
      </c>
      <c r="I72" s="18" t="s">
        <v>45</v>
      </c>
      <c r="J72" s="28">
        <v>1</v>
      </c>
      <c r="K72" s="18" t="s">
        <v>45</v>
      </c>
      <c r="L72" s="28">
        <v>1</v>
      </c>
      <c r="M72" s="18" t="s">
        <v>45</v>
      </c>
      <c r="N72" s="18" t="s">
        <v>45</v>
      </c>
      <c r="O72" s="28">
        <v>1</v>
      </c>
      <c r="P72" s="28">
        <v>1</v>
      </c>
      <c r="Q72" s="28">
        <v>1</v>
      </c>
      <c r="R72" s="28">
        <v>1</v>
      </c>
      <c r="S72" s="28">
        <v>1</v>
      </c>
      <c r="T72" s="19" t="s">
        <v>184</v>
      </c>
      <c r="U72" s="20">
        <f t="shared" si="7"/>
        <v>164.40299999999999</v>
      </c>
      <c r="V72" s="20">
        <v>109.08499999999999</v>
      </c>
      <c r="W72" s="20">
        <v>0</v>
      </c>
      <c r="X72" s="20">
        <v>55.317999999999998</v>
      </c>
      <c r="Y72" s="21" t="s">
        <v>185</v>
      </c>
      <c r="Z72" s="50">
        <f>IF([7]Заяц_беляк!$M$5=0,"",[7]Заяц_беляк!$M$5)</f>
        <v>108.95</v>
      </c>
      <c r="AA72" s="50">
        <f>IF([7]Заяц_беляк!$N$5=0,"",[7]Заяц_беляк!$N$5)</f>
        <v>55.45</v>
      </c>
      <c r="AB72" s="50">
        <v>0</v>
      </c>
      <c r="AC72" s="50">
        <f t="shared" si="31"/>
        <v>164.4</v>
      </c>
      <c r="AD72" s="23">
        <f t="shared" si="42"/>
        <v>251.52</v>
      </c>
      <c r="AE72" s="23">
        <f t="shared" si="36"/>
        <v>166.68554744525548</v>
      </c>
      <c r="AF72" s="23">
        <f t="shared" si="37"/>
        <v>84.83445255474453</v>
      </c>
      <c r="AG72" s="23">
        <f t="shared" si="38"/>
        <v>0</v>
      </c>
      <c r="AH72" s="23">
        <f t="shared" si="39"/>
        <v>33.536000000000001</v>
      </c>
      <c r="AI72" s="23">
        <f t="shared" si="40"/>
        <v>16.768000000000001</v>
      </c>
      <c r="AJ72" s="23">
        <f t="shared" si="41"/>
        <v>50.304000000000002</v>
      </c>
      <c r="AK72" s="30"/>
      <c r="AL72" s="24"/>
      <c r="AM72" s="30"/>
      <c r="AN72" s="24"/>
      <c r="AO72" s="30"/>
      <c r="AP72" s="24"/>
      <c r="AQ72" s="24"/>
      <c r="AR72" s="30">
        <v>108</v>
      </c>
      <c r="AS72" s="30"/>
      <c r="AT72" s="30"/>
      <c r="AU72" s="30"/>
      <c r="AV72" s="30"/>
    </row>
    <row r="73" spans="1:48" s="25" customFormat="1" ht="36.75" customHeight="1" x14ac:dyDescent="0.3">
      <c r="A73" s="26"/>
      <c r="B73" s="26"/>
      <c r="C73" s="16" t="s">
        <v>49</v>
      </c>
      <c r="D73" s="19" t="s">
        <v>186</v>
      </c>
      <c r="E73" s="17">
        <v>40668</v>
      </c>
      <c r="F73" s="18">
        <v>9</v>
      </c>
      <c r="G73" s="17"/>
      <c r="H73" s="28">
        <v>1</v>
      </c>
      <c r="I73" s="28">
        <v>1</v>
      </c>
      <c r="J73" s="28">
        <v>1</v>
      </c>
      <c r="K73" s="28">
        <v>1</v>
      </c>
      <c r="L73" s="28">
        <v>1</v>
      </c>
      <c r="M73" s="18" t="s">
        <v>45</v>
      </c>
      <c r="N73" s="18" t="s">
        <v>45</v>
      </c>
      <c r="O73" s="28">
        <v>1</v>
      </c>
      <c r="P73" s="28">
        <v>1</v>
      </c>
      <c r="Q73" s="28">
        <v>1</v>
      </c>
      <c r="R73" s="28">
        <v>1</v>
      </c>
      <c r="S73" s="28">
        <v>1</v>
      </c>
      <c r="T73" s="19" t="s">
        <v>63</v>
      </c>
      <c r="U73" s="20">
        <f t="shared" si="7"/>
        <v>95.204999999999998</v>
      </c>
      <c r="V73" s="20">
        <v>51.564</v>
      </c>
      <c r="W73" s="20">
        <v>43.640999999999998</v>
      </c>
      <c r="X73" s="20"/>
      <c r="Y73" s="21"/>
      <c r="Z73" s="50">
        <v>56.273600000000002</v>
      </c>
      <c r="AA73" s="50">
        <v>34.722000000000001</v>
      </c>
      <c r="AB73" s="50">
        <v>4.2089999999999996</v>
      </c>
      <c r="AC73" s="50">
        <f t="shared" si="31"/>
        <v>95.204599999999999</v>
      </c>
      <c r="AD73" s="23">
        <f t="shared" si="42"/>
        <v>196.16368</v>
      </c>
      <c r="AE73" s="23">
        <f t="shared" si="36"/>
        <v>115.94856196914854</v>
      </c>
      <c r="AF73" s="23">
        <f t="shared" si="37"/>
        <v>71.542712189957214</v>
      </c>
      <c r="AG73" s="23">
        <f t="shared" si="38"/>
        <v>8.6724058408942426</v>
      </c>
      <c r="AH73" s="23">
        <f t="shared" si="39"/>
        <v>26.155157333333335</v>
      </c>
      <c r="AI73" s="23">
        <f t="shared" si="40"/>
        <v>13.077578666666666</v>
      </c>
      <c r="AJ73" s="23">
        <f t="shared" si="41"/>
        <v>39.232736000000003</v>
      </c>
      <c r="AK73" s="30"/>
      <c r="AL73" s="30"/>
      <c r="AM73" s="30"/>
      <c r="AN73" s="30"/>
      <c r="AO73" s="30"/>
      <c r="AP73" s="24"/>
      <c r="AQ73" s="24"/>
      <c r="AR73" s="30">
        <v>45</v>
      </c>
      <c r="AS73" s="30"/>
      <c r="AT73" s="30"/>
      <c r="AU73" s="30"/>
      <c r="AV73" s="30"/>
    </row>
    <row r="74" spans="1:48" s="42" customFormat="1" x14ac:dyDescent="0.3">
      <c r="A74" s="31"/>
      <c r="B74" s="31"/>
      <c r="C74" s="32" t="s">
        <v>52</v>
      </c>
      <c r="D74" s="33"/>
      <c r="E74" s="34"/>
      <c r="F74" s="35"/>
      <c r="G74" s="36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3"/>
      <c r="U74" s="45">
        <f t="shared" ref="U74:AC74" si="43">SUM(U71:U73)</f>
        <v>328.90799999999996</v>
      </c>
      <c r="V74" s="45">
        <f t="shared" si="43"/>
        <v>160.649</v>
      </c>
      <c r="W74" s="45">
        <f t="shared" si="43"/>
        <v>43.640999999999998</v>
      </c>
      <c r="X74" s="45">
        <f t="shared" si="43"/>
        <v>55.317999999999998</v>
      </c>
      <c r="Y74" s="38">
        <f t="shared" si="43"/>
        <v>328.9</v>
      </c>
      <c r="Z74" s="39">
        <f t="shared" si="43"/>
        <v>234.52359999999999</v>
      </c>
      <c r="AA74" s="39">
        <f t="shared" si="43"/>
        <v>90.171999999999997</v>
      </c>
      <c r="AB74" s="39">
        <f t="shared" si="43"/>
        <v>4.2089999999999996</v>
      </c>
      <c r="AC74" s="39">
        <f t="shared" si="43"/>
        <v>328.90459999999996</v>
      </c>
      <c r="AD74" s="40">
        <f>280+(AC74-200)*0.1</f>
        <v>292.89046000000002</v>
      </c>
      <c r="AE74" s="40">
        <f t="shared" si="36"/>
        <v>208.84391730871511</v>
      </c>
      <c r="AF74" s="40">
        <f t="shared" si="37"/>
        <v>80.298416498644301</v>
      </c>
      <c r="AG74" s="40">
        <f t="shared" si="38"/>
        <v>3.7481261926406626</v>
      </c>
      <c r="AH74" s="40">
        <f t="shared" si="39"/>
        <v>39.052061333333334</v>
      </c>
      <c r="AI74" s="40">
        <f t="shared" si="40"/>
        <v>19.526030666666667</v>
      </c>
      <c r="AJ74" s="40">
        <f t="shared" si="41"/>
        <v>58.578092000000005</v>
      </c>
      <c r="AK74" s="41"/>
      <c r="AL74" s="41"/>
      <c r="AM74" s="41"/>
      <c r="AN74" s="41"/>
      <c r="AO74" s="41"/>
      <c r="AP74" s="41"/>
      <c r="AQ74" s="41"/>
      <c r="AR74" s="41">
        <v>193</v>
      </c>
      <c r="AS74" s="41"/>
      <c r="AT74" s="41"/>
      <c r="AU74" s="41"/>
      <c r="AV74" s="41"/>
    </row>
    <row r="75" spans="1:48" s="25" customFormat="1" ht="19.5" customHeight="1" x14ac:dyDescent="0.3">
      <c r="A75" s="15">
        <v>11</v>
      </c>
      <c r="B75" s="15" t="s">
        <v>187</v>
      </c>
      <c r="C75" s="16" t="s">
        <v>43</v>
      </c>
      <c r="D75" s="19"/>
      <c r="E75" s="17"/>
      <c r="F75" s="18"/>
      <c r="G75" s="17"/>
      <c r="H75" s="18"/>
      <c r="I75" s="18"/>
      <c r="J75" s="43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20">
        <v>67.599999999999994</v>
      </c>
      <c r="V75" s="20"/>
      <c r="W75" s="20"/>
      <c r="X75" s="20"/>
      <c r="Y75" s="21">
        <v>350.7</v>
      </c>
      <c r="Z75" s="48">
        <v>67.599999999999994</v>
      </c>
      <c r="AA75" s="48">
        <v>0</v>
      </c>
      <c r="AB75" s="48">
        <v>0</v>
      </c>
      <c r="AC75" s="48">
        <f t="shared" si="31"/>
        <v>67.599999999999994</v>
      </c>
      <c r="AD75" s="23">
        <f>160+(AC75-50)*0.8</f>
        <v>174.07999999999998</v>
      </c>
      <c r="AE75" s="23">
        <f t="shared" si="36"/>
        <v>174.07999999999998</v>
      </c>
      <c r="AF75" s="23">
        <f t="shared" si="37"/>
        <v>0</v>
      </c>
      <c r="AG75" s="23">
        <f t="shared" si="38"/>
        <v>0</v>
      </c>
      <c r="AH75" s="23">
        <f t="shared" si="39"/>
        <v>23.210666666666665</v>
      </c>
      <c r="AI75" s="23">
        <f t="shared" si="40"/>
        <v>11.605333333333332</v>
      </c>
      <c r="AJ75" s="23">
        <f t="shared" si="41"/>
        <v>34.815999999999995</v>
      </c>
      <c r="AK75" s="24"/>
      <c r="AL75" s="24"/>
      <c r="AM75" s="44"/>
      <c r="AN75" s="24"/>
      <c r="AO75" s="24"/>
      <c r="AP75" s="24"/>
      <c r="AQ75" s="24"/>
      <c r="AR75" s="24">
        <v>82.1</v>
      </c>
      <c r="AS75" s="24"/>
      <c r="AT75" s="24"/>
      <c r="AU75" s="24"/>
      <c r="AV75" s="24"/>
    </row>
    <row r="76" spans="1:48" s="25" customFormat="1" ht="56.25" customHeight="1" x14ac:dyDescent="0.3">
      <c r="A76" s="26">
        <v>68</v>
      </c>
      <c r="B76" s="26"/>
      <c r="C76" s="16" t="s">
        <v>85</v>
      </c>
      <c r="D76" s="19" t="s">
        <v>122</v>
      </c>
      <c r="E76" s="17"/>
      <c r="F76" s="18"/>
      <c r="G76" s="17" t="s">
        <v>188</v>
      </c>
      <c r="H76" s="28">
        <v>1</v>
      </c>
      <c r="I76" s="28">
        <v>1</v>
      </c>
      <c r="J76" s="43">
        <v>1</v>
      </c>
      <c r="K76" s="28">
        <v>1</v>
      </c>
      <c r="L76" s="28">
        <v>1</v>
      </c>
      <c r="M76" s="28">
        <v>1</v>
      </c>
      <c r="N76" s="18" t="s">
        <v>45</v>
      </c>
      <c r="O76" s="28">
        <v>1</v>
      </c>
      <c r="P76" s="28">
        <v>1</v>
      </c>
      <c r="Q76" s="28">
        <v>1</v>
      </c>
      <c r="R76" s="28">
        <v>1</v>
      </c>
      <c r="S76" s="28">
        <v>1</v>
      </c>
      <c r="T76" s="19" t="s">
        <v>189</v>
      </c>
      <c r="U76" s="20">
        <f t="shared" si="7"/>
        <v>38.299999999999997</v>
      </c>
      <c r="V76" s="20">
        <v>38.299999999999997</v>
      </c>
      <c r="W76" s="20"/>
      <c r="X76" s="20"/>
      <c r="Y76" s="21"/>
      <c r="Z76" s="50">
        <v>38.299999999999997</v>
      </c>
      <c r="AA76" s="50">
        <v>0</v>
      </c>
      <c r="AB76" s="50">
        <v>0</v>
      </c>
      <c r="AC76" s="50">
        <f t="shared" si="31"/>
        <v>38.299999999999997</v>
      </c>
      <c r="AD76" s="23">
        <f t="shared" ref="AD76:AD77" si="44">100+(AC76-20)*2</f>
        <v>136.6</v>
      </c>
      <c r="AE76" s="23">
        <f t="shared" si="36"/>
        <v>136.6</v>
      </c>
      <c r="AF76" s="23">
        <f t="shared" si="37"/>
        <v>0</v>
      </c>
      <c r="AG76" s="23">
        <f t="shared" si="38"/>
        <v>0</v>
      </c>
      <c r="AH76" s="23">
        <f t="shared" si="39"/>
        <v>18.213333333333331</v>
      </c>
      <c r="AI76" s="23">
        <f t="shared" si="40"/>
        <v>9.1066666666666656</v>
      </c>
      <c r="AJ76" s="23">
        <f t="shared" si="41"/>
        <v>27.32</v>
      </c>
      <c r="AK76" s="30"/>
      <c r="AL76" s="30"/>
      <c r="AM76" s="44"/>
      <c r="AN76" s="30"/>
      <c r="AO76" s="30"/>
      <c r="AP76" s="30"/>
      <c r="AQ76" s="24"/>
      <c r="AR76" s="30">
        <v>38.299999999999997</v>
      </c>
      <c r="AS76" s="30"/>
      <c r="AT76" s="30"/>
      <c r="AU76" s="30"/>
      <c r="AV76" s="30"/>
    </row>
    <row r="77" spans="1:48" s="25" customFormat="1" ht="75.75" customHeight="1" x14ac:dyDescent="0.3">
      <c r="A77" s="26">
        <v>69</v>
      </c>
      <c r="B77" s="26"/>
      <c r="C77" s="61" t="s">
        <v>190</v>
      </c>
      <c r="D77" s="19" t="s">
        <v>191</v>
      </c>
      <c r="E77" s="17">
        <v>40738</v>
      </c>
      <c r="F77" s="18">
        <v>17</v>
      </c>
      <c r="G77" s="17" t="s">
        <v>175</v>
      </c>
      <c r="H77" s="28">
        <v>1</v>
      </c>
      <c r="I77" s="28">
        <v>1</v>
      </c>
      <c r="J77" s="43" t="s">
        <v>45</v>
      </c>
      <c r="K77" s="18" t="s">
        <v>45</v>
      </c>
      <c r="L77" s="18" t="s">
        <v>45</v>
      </c>
      <c r="M77" s="18" t="s">
        <v>45</v>
      </c>
      <c r="N77" s="18" t="s">
        <v>45</v>
      </c>
      <c r="O77" s="28">
        <v>1</v>
      </c>
      <c r="P77" s="28">
        <v>1</v>
      </c>
      <c r="Q77" s="28">
        <v>1</v>
      </c>
      <c r="R77" s="28">
        <v>1</v>
      </c>
      <c r="S77" s="28">
        <v>1</v>
      </c>
      <c r="T77" s="19" t="s">
        <v>192</v>
      </c>
      <c r="U77" s="20">
        <f t="shared" si="7"/>
        <v>40.004999999999995</v>
      </c>
      <c r="V77" s="20">
        <v>35.414999999999999</v>
      </c>
      <c r="W77" s="20">
        <v>4.59</v>
      </c>
      <c r="X77" s="20"/>
      <c r="Y77" s="21" t="s">
        <v>193</v>
      </c>
      <c r="Z77" s="62">
        <f>IF([8]Заяц_беляк!$M$5=0,"",[8]Заяц_беляк!$M$5)</f>
        <v>35.4</v>
      </c>
      <c r="AA77" s="62">
        <f>IF([8]Заяц_беляк!$N$5=0,"",[8]Заяц_беляк!$N$5)</f>
        <v>4.5999999999999996</v>
      </c>
      <c r="AB77" s="62">
        <v>0</v>
      </c>
      <c r="AC77" s="62">
        <f t="shared" si="31"/>
        <v>40</v>
      </c>
      <c r="AD77" s="23">
        <f t="shared" si="44"/>
        <v>140</v>
      </c>
      <c r="AE77" s="23">
        <f t="shared" si="36"/>
        <v>123.9</v>
      </c>
      <c r="AF77" s="23">
        <f t="shared" si="37"/>
        <v>16.100000000000001</v>
      </c>
      <c r="AG77" s="23">
        <f t="shared" si="38"/>
        <v>0</v>
      </c>
      <c r="AH77" s="23">
        <f t="shared" si="39"/>
        <v>18.666666666666668</v>
      </c>
      <c r="AI77" s="23">
        <f t="shared" si="40"/>
        <v>9.3333333333333339</v>
      </c>
      <c r="AJ77" s="23">
        <f t="shared" si="41"/>
        <v>28</v>
      </c>
      <c r="AK77" s="30"/>
      <c r="AL77" s="30"/>
      <c r="AM77" s="44"/>
      <c r="AN77" s="24"/>
      <c r="AO77" s="24"/>
      <c r="AP77" s="24"/>
      <c r="AQ77" s="24"/>
      <c r="AR77" s="30">
        <v>40.005000000000003</v>
      </c>
      <c r="AS77" s="30"/>
      <c r="AT77" s="30"/>
      <c r="AU77" s="30"/>
      <c r="AV77" s="30"/>
    </row>
    <row r="78" spans="1:48" s="25" customFormat="1" ht="57.75" customHeight="1" x14ac:dyDescent="0.3">
      <c r="A78" s="26">
        <v>70</v>
      </c>
      <c r="B78" s="26"/>
      <c r="C78" s="61" t="s">
        <v>194</v>
      </c>
      <c r="D78" s="19" t="s">
        <v>195</v>
      </c>
      <c r="E78" s="17">
        <v>41893</v>
      </c>
      <c r="F78" s="18">
        <v>115</v>
      </c>
      <c r="G78" s="17"/>
      <c r="H78" s="28">
        <v>1</v>
      </c>
      <c r="I78" s="28">
        <v>1</v>
      </c>
      <c r="J78" s="43">
        <v>1</v>
      </c>
      <c r="K78" s="28">
        <v>1</v>
      </c>
      <c r="L78" s="18" t="s">
        <v>45</v>
      </c>
      <c r="M78" s="18" t="s">
        <v>45</v>
      </c>
      <c r="N78" s="18" t="s">
        <v>45</v>
      </c>
      <c r="O78" s="28">
        <v>1</v>
      </c>
      <c r="P78" s="28">
        <v>1</v>
      </c>
      <c r="Q78" s="28">
        <v>1</v>
      </c>
      <c r="R78" s="28">
        <v>1</v>
      </c>
      <c r="S78" s="18" t="s">
        <v>45</v>
      </c>
      <c r="T78" s="19" t="s">
        <v>101</v>
      </c>
      <c r="U78" s="20">
        <f t="shared" si="7"/>
        <v>163.58099999999999</v>
      </c>
      <c r="V78" s="20">
        <v>163.58099999999999</v>
      </c>
      <c r="W78" s="20"/>
      <c r="X78" s="20"/>
      <c r="Y78" s="21"/>
      <c r="Z78" s="22">
        <v>163.48099999999999</v>
      </c>
      <c r="AA78" s="22">
        <v>0</v>
      </c>
      <c r="AB78" s="22">
        <f>IF([9]Заяц_беляк!$O$5=0,"",[9]Заяц_беляк!$O$5)</f>
        <v>0.1</v>
      </c>
      <c r="AC78" s="22">
        <f t="shared" si="31"/>
        <v>163.58099999999999</v>
      </c>
      <c r="AD78" s="23">
        <f t="shared" ref="AD78:AD79" si="45">160+(AC78-50)*0.8</f>
        <v>250.8648</v>
      </c>
      <c r="AE78" s="23">
        <f t="shared" si="36"/>
        <v>250.71144184715828</v>
      </c>
      <c r="AF78" s="23">
        <f t="shared" si="37"/>
        <v>0</v>
      </c>
      <c r="AG78" s="23">
        <f t="shared" si="38"/>
        <v>0.15335815284171148</v>
      </c>
      <c r="AH78" s="23">
        <f t="shared" si="39"/>
        <v>33.448639999999997</v>
      </c>
      <c r="AI78" s="23">
        <f t="shared" si="40"/>
        <v>16.724319999999999</v>
      </c>
      <c r="AJ78" s="23">
        <f t="shared" si="41"/>
        <v>50.172960000000003</v>
      </c>
      <c r="AK78" s="30"/>
      <c r="AL78" s="30"/>
      <c r="AM78" s="44"/>
      <c r="AN78" s="30"/>
      <c r="AO78" s="24"/>
      <c r="AP78" s="24"/>
      <c r="AQ78" s="24"/>
      <c r="AR78" s="30">
        <v>150</v>
      </c>
      <c r="AS78" s="30"/>
      <c r="AT78" s="30"/>
      <c r="AU78" s="30"/>
      <c r="AV78" s="24"/>
    </row>
    <row r="79" spans="1:48" s="25" customFormat="1" ht="23.25" customHeight="1" collapsed="1" x14ac:dyDescent="0.3">
      <c r="A79" s="26">
        <v>71</v>
      </c>
      <c r="B79" s="26"/>
      <c r="C79" s="16" t="s">
        <v>196</v>
      </c>
      <c r="D79" s="19" t="s">
        <v>197</v>
      </c>
      <c r="E79" s="17">
        <v>41355</v>
      </c>
      <c r="F79" s="18">
        <v>58</v>
      </c>
      <c r="G79" s="17"/>
      <c r="H79" s="28"/>
      <c r="I79" s="28"/>
      <c r="J79" s="43"/>
      <c r="K79" s="28"/>
      <c r="L79" s="18" t="s">
        <v>45</v>
      </c>
      <c r="M79" s="18" t="s">
        <v>45</v>
      </c>
      <c r="N79" s="18" t="s">
        <v>45</v>
      </c>
      <c r="O79" s="28">
        <v>1</v>
      </c>
      <c r="P79" s="28"/>
      <c r="Q79" s="28"/>
      <c r="R79" s="28"/>
      <c r="S79" s="28"/>
      <c r="T79" s="19" t="s">
        <v>165</v>
      </c>
      <c r="U79" s="20">
        <f t="shared" si="7"/>
        <v>63.427000000000007</v>
      </c>
      <c r="V79" s="20">
        <v>48.947000000000003</v>
      </c>
      <c r="W79" s="20">
        <v>0</v>
      </c>
      <c r="X79" s="20">
        <v>14.48</v>
      </c>
      <c r="Y79" s="21"/>
      <c r="Z79" s="63">
        <f>IF([10]Заяц_беляк!$M$5=0,"",[10]Заяц_беляк!$M$5)</f>
        <v>54.7</v>
      </c>
      <c r="AA79" s="63">
        <f>IF([10]Заяц_беляк!$N$5=0,"",[10]Заяц_беляк!$N$5)</f>
        <v>8.6999999999999993</v>
      </c>
      <c r="AB79" s="63">
        <v>0</v>
      </c>
      <c r="AC79" s="63">
        <f t="shared" si="31"/>
        <v>63.400000000000006</v>
      </c>
      <c r="AD79" s="23">
        <f t="shared" si="45"/>
        <v>170.72</v>
      </c>
      <c r="AE79" s="23">
        <f t="shared" si="36"/>
        <v>147.29312302839116</v>
      </c>
      <c r="AF79" s="23">
        <f t="shared" si="37"/>
        <v>23.426876971608831</v>
      </c>
      <c r="AG79" s="23">
        <f t="shared" si="38"/>
        <v>0</v>
      </c>
      <c r="AH79" s="23">
        <f t="shared" si="39"/>
        <v>22.762666666666668</v>
      </c>
      <c r="AI79" s="23">
        <f t="shared" si="40"/>
        <v>11.381333333333334</v>
      </c>
      <c r="AJ79" s="23">
        <f t="shared" si="41"/>
        <v>34.143999999999998</v>
      </c>
      <c r="AK79" s="30"/>
      <c r="AL79" s="30"/>
      <c r="AM79" s="44"/>
      <c r="AN79" s="30"/>
      <c r="AO79" s="24"/>
      <c r="AP79" s="24"/>
      <c r="AQ79" s="24"/>
      <c r="AR79" s="30">
        <v>63.427000000000007</v>
      </c>
      <c r="AS79" s="30"/>
      <c r="AT79" s="30"/>
      <c r="AU79" s="30"/>
      <c r="AV79" s="30"/>
    </row>
    <row r="80" spans="1:48" s="42" customFormat="1" x14ac:dyDescent="0.3">
      <c r="A80" s="31"/>
      <c r="B80" s="31"/>
      <c r="C80" s="32" t="s">
        <v>52</v>
      </c>
      <c r="D80" s="33"/>
      <c r="E80" s="34"/>
      <c r="F80" s="35"/>
      <c r="G80" s="36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3"/>
      <c r="U80" s="45">
        <f t="shared" ref="U80:AC80" si="46">SUM(U75:U79)</f>
        <v>372.91300000000001</v>
      </c>
      <c r="V80" s="45">
        <f t="shared" si="46"/>
        <v>286.24299999999999</v>
      </c>
      <c r="W80" s="45">
        <f t="shared" si="46"/>
        <v>4.59</v>
      </c>
      <c r="X80" s="45">
        <f t="shared" si="46"/>
        <v>14.48</v>
      </c>
      <c r="Y80" s="38">
        <f t="shared" si="46"/>
        <v>350.7</v>
      </c>
      <c r="Z80" s="39">
        <f t="shared" si="46"/>
        <v>359.48099999999994</v>
      </c>
      <c r="AA80" s="39">
        <f t="shared" si="46"/>
        <v>13.299999999999999</v>
      </c>
      <c r="AB80" s="39">
        <f t="shared" si="46"/>
        <v>0.1</v>
      </c>
      <c r="AC80" s="39">
        <f t="shared" si="46"/>
        <v>372.88099999999997</v>
      </c>
      <c r="AD80" s="40">
        <f t="shared" ref="AD80:AD82" si="47">280+(AC80-200)*0.1</f>
        <v>297.28809999999999</v>
      </c>
      <c r="AE80" s="40">
        <f t="shared" si="36"/>
        <v>286.60463653578483</v>
      </c>
      <c r="AF80" s="40">
        <f t="shared" si="37"/>
        <v>10.603736124929936</v>
      </c>
      <c r="AG80" s="40">
        <f t="shared" si="38"/>
        <v>7.9727339285187507E-2</v>
      </c>
      <c r="AH80" s="40">
        <f t="shared" si="39"/>
        <v>39.638413333333332</v>
      </c>
      <c r="AI80" s="40">
        <f t="shared" si="40"/>
        <v>19.819206666666666</v>
      </c>
      <c r="AJ80" s="40">
        <f t="shared" si="41"/>
        <v>59.457619999999999</v>
      </c>
      <c r="AK80" s="41"/>
      <c r="AL80" s="41"/>
      <c r="AM80" s="41"/>
      <c r="AN80" s="41"/>
      <c r="AO80" s="41"/>
      <c r="AP80" s="41"/>
      <c r="AQ80" s="41"/>
      <c r="AR80" s="41">
        <v>373.83199999999999</v>
      </c>
      <c r="AS80" s="41"/>
      <c r="AT80" s="41"/>
      <c r="AU80" s="41"/>
      <c r="AV80" s="41"/>
    </row>
    <row r="81" spans="1:48" s="25" customFormat="1" ht="19.5" customHeight="1" x14ac:dyDescent="0.3">
      <c r="A81" s="15">
        <v>12</v>
      </c>
      <c r="B81" s="15" t="s">
        <v>198</v>
      </c>
      <c r="C81" s="16" t="s">
        <v>58</v>
      </c>
      <c r="D81" s="19"/>
      <c r="E81" s="17"/>
      <c r="F81" s="18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20">
        <v>6363.6</v>
      </c>
      <c r="V81" s="20"/>
      <c r="W81" s="20"/>
      <c r="X81" s="20"/>
      <c r="Y81" s="21">
        <v>10438.6</v>
      </c>
      <c r="Z81" s="48">
        <v>5616.4</v>
      </c>
      <c r="AA81" s="48">
        <f>IF([11]Заяц_беляк!$N$5=0,"",[11]Заяц_беляк!$N$5)</f>
        <v>6.3</v>
      </c>
      <c r="AB81" s="48">
        <f>IF([11]Заяц_беляк!$O$5=0,"",[11]Заяц_беляк!$O$5)</f>
        <v>740.9</v>
      </c>
      <c r="AC81" s="48">
        <f t="shared" si="31"/>
        <v>6363.5999999999995</v>
      </c>
      <c r="AD81" s="23">
        <f t="shared" si="47"/>
        <v>896.36</v>
      </c>
      <c r="AE81" s="23">
        <f t="shared" si="36"/>
        <v>791.11136840781944</v>
      </c>
      <c r="AF81" s="23">
        <f t="shared" si="37"/>
        <v>0.88740147086554788</v>
      </c>
      <c r="AG81" s="23">
        <f t="shared" si="38"/>
        <v>104.36123012131497</v>
      </c>
      <c r="AH81" s="23">
        <f t="shared" si="39"/>
        <v>119.51466666666667</v>
      </c>
      <c r="AI81" s="23">
        <f t="shared" si="40"/>
        <v>59.757333333333335</v>
      </c>
      <c r="AJ81" s="23">
        <f t="shared" si="41"/>
        <v>179.27199999999999</v>
      </c>
      <c r="AK81" s="24"/>
      <c r="AL81" s="24"/>
      <c r="AM81" s="24"/>
      <c r="AN81" s="24"/>
      <c r="AO81" s="24"/>
      <c r="AP81" s="24"/>
      <c r="AQ81" s="24"/>
      <c r="AR81" s="24">
        <v>4000</v>
      </c>
      <c r="AS81" s="24"/>
      <c r="AT81" s="24"/>
      <c r="AU81" s="24"/>
      <c r="AV81" s="24"/>
    </row>
    <row r="82" spans="1:48" s="25" customFormat="1" ht="37.5" customHeight="1" x14ac:dyDescent="0.3">
      <c r="A82" s="26">
        <v>75</v>
      </c>
      <c r="B82" s="26"/>
      <c r="C82" s="16" t="s">
        <v>199</v>
      </c>
      <c r="D82" s="19" t="s">
        <v>200</v>
      </c>
      <c r="E82" s="17">
        <v>41773</v>
      </c>
      <c r="F82" s="18">
        <v>97</v>
      </c>
      <c r="G82" s="17"/>
      <c r="H82" s="28">
        <v>1</v>
      </c>
      <c r="I82" s="18" t="s">
        <v>45</v>
      </c>
      <c r="J82" s="18" t="s">
        <v>45</v>
      </c>
      <c r="K82" s="18" t="s">
        <v>45</v>
      </c>
      <c r="L82" s="18" t="s">
        <v>45</v>
      </c>
      <c r="M82" s="28">
        <v>1</v>
      </c>
      <c r="N82" s="18" t="s">
        <v>45</v>
      </c>
      <c r="O82" s="28">
        <v>1</v>
      </c>
      <c r="P82" s="28">
        <v>1</v>
      </c>
      <c r="Q82" s="28">
        <v>1</v>
      </c>
      <c r="R82" s="28">
        <v>1</v>
      </c>
      <c r="S82" s="28">
        <v>1</v>
      </c>
      <c r="T82" s="19" t="s">
        <v>201</v>
      </c>
      <c r="U82" s="20">
        <f t="shared" si="7"/>
        <v>207.53100000000001</v>
      </c>
      <c r="V82" s="20">
        <v>207.53100000000001</v>
      </c>
      <c r="W82" s="20"/>
      <c r="X82" s="20"/>
      <c r="Y82" s="21"/>
      <c r="Z82" s="50">
        <v>207.53100000000001</v>
      </c>
      <c r="AA82" s="50">
        <v>0</v>
      </c>
      <c r="AB82" s="50">
        <v>0</v>
      </c>
      <c r="AC82" s="50">
        <f>IF(SUM(Z82:AB82)=0,"",SUM(Z82:AB82))</f>
        <v>207.53100000000001</v>
      </c>
      <c r="AD82" s="23">
        <f t="shared" si="47"/>
        <v>280.75310000000002</v>
      </c>
      <c r="AE82" s="23">
        <f t="shared" si="36"/>
        <v>280.75310000000002</v>
      </c>
      <c r="AF82" s="23">
        <f t="shared" si="37"/>
        <v>0</v>
      </c>
      <c r="AG82" s="23">
        <f t="shared" si="38"/>
        <v>0</v>
      </c>
      <c r="AH82" s="23">
        <f t="shared" si="39"/>
        <v>37.433746666666671</v>
      </c>
      <c r="AI82" s="23">
        <f t="shared" si="40"/>
        <v>18.716873333333336</v>
      </c>
      <c r="AJ82" s="23">
        <f t="shared" si="41"/>
        <v>56.150620000000004</v>
      </c>
      <c r="AK82" s="30"/>
      <c r="AL82" s="24"/>
      <c r="AM82" s="24"/>
      <c r="AN82" s="24"/>
      <c r="AO82" s="24"/>
      <c r="AP82" s="30"/>
      <c r="AQ82" s="24"/>
      <c r="AR82" s="30">
        <v>207.53100000000001</v>
      </c>
      <c r="AS82" s="30"/>
      <c r="AT82" s="30"/>
      <c r="AU82" s="30"/>
      <c r="AV82" s="30"/>
    </row>
    <row r="83" spans="1:48" s="25" customFormat="1" ht="39.75" customHeight="1" x14ac:dyDescent="0.3">
      <c r="A83" s="26">
        <v>75</v>
      </c>
      <c r="B83" s="26"/>
      <c r="C83" s="16" t="s">
        <v>202</v>
      </c>
      <c r="D83" s="19" t="s">
        <v>203</v>
      </c>
      <c r="E83" s="17">
        <v>41515</v>
      </c>
      <c r="F83" s="18">
        <v>70</v>
      </c>
      <c r="G83" s="17"/>
      <c r="H83" s="28">
        <v>1</v>
      </c>
      <c r="I83" s="18" t="s">
        <v>45</v>
      </c>
      <c r="J83" s="18" t="s">
        <v>45</v>
      </c>
      <c r="K83" s="28">
        <v>1</v>
      </c>
      <c r="L83" s="18" t="s">
        <v>45</v>
      </c>
      <c r="M83" s="28">
        <v>1</v>
      </c>
      <c r="N83" s="18" t="s">
        <v>45</v>
      </c>
      <c r="O83" s="28">
        <v>1</v>
      </c>
      <c r="P83" s="28"/>
      <c r="Q83" s="28">
        <v>1</v>
      </c>
      <c r="R83" s="28"/>
      <c r="S83" s="28">
        <v>1</v>
      </c>
      <c r="T83" s="19" t="s">
        <v>204</v>
      </c>
      <c r="U83" s="20">
        <f t="shared" si="7"/>
        <v>15.006</v>
      </c>
      <c r="V83" s="20">
        <v>15.006</v>
      </c>
      <c r="W83" s="20"/>
      <c r="X83" s="20"/>
      <c r="Y83" s="21"/>
      <c r="Z83" s="50">
        <v>15.006</v>
      </c>
      <c r="AA83" s="50">
        <v>0</v>
      </c>
      <c r="AB83" s="50">
        <v>0</v>
      </c>
      <c r="AC83" s="50">
        <f>IF(SUM(Z83:AB83)=0,"",SUM(Z83:AB83))</f>
        <v>15.006</v>
      </c>
      <c r="AD83" s="23">
        <f>50+(AC83-10)*5</f>
        <v>75.03</v>
      </c>
      <c r="AE83" s="23">
        <f t="shared" si="36"/>
        <v>75.03</v>
      </c>
      <c r="AF83" s="23">
        <f t="shared" si="37"/>
        <v>0</v>
      </c>
      <c r="AG83" s="23">
        <f t="shared" si="38"/>
        <v>0</v>
      </c>
      <c r="AH83" s="23">
        <f t="shared" si="39"/>
        <v>10.004</v>
      </c>
      <c r="AI83" s="23">
        <f t="shared" si="40"/>
        <v>5.0019999999999998</v>
      </c>
      <c r="AJ83" s="23">
        <f t="shared" si="41"/>
        <v>15.006</v>
      </c>
      <c r="AK83" s="30"/>
      <c r="AL83" s="24"/>
      <c r="AM83" s="24"/>
      <c r="AN83" s="30"/>
      <c r="AO83" s="24"/>
      <c r="AP83" s="30"/>
      <c r="AQ83" s="24"/>
      <c r="AR83" s="30">
        <v>6</v>
      </c>
      <c r="AS83" s="30"/>
      <c r="AT83" s="30"/>
      <c r="AU83" s="30"/>
      <c r="AV83" s="30"/>
    </row>
    <row r="84" spans="1:48" s="25" customFormat="1" ht="40.5" customHeight="1" x14ac:dyDescent="0.3">
      <c r="A84" s="26">
        <v>76</v>
      </c>
      <c r="B84" s="26"/>
      <c r="C84" s="16" t="s">
        <v>205</v>
      </c>
      <c r="D84" s="19"/>
      <c r="E84" s="17"/>
      <c r="F84" s="18"/>
      <c r="G84" s="17">
        <v>42228</v>
      </c>
      <c r="H84" s="28">
        <v>1</v>
      </c>
      <c r="I84" s="18" t="s">
        <v>45</v>
      </c>
      <c r="J84" s="18" t="s">
        <v>45</v>
      </c>
      <c r="K84" s="18" t="s">
        <v>45</v>
      </c>
      <c r="L84" s="18" t="s">
        <v>45</v>
      </c>
      <c r="M84" s="18" t="s">
        <v>45</v>
      </c>
      <c r="N84" s="18" t="s">
        <v>45</v>
      </c>
      <c r="O84" s="28">
        <v>1</v>
      </c>
      <c r="P84" s="28">
        <v>1</v>
      </c>
      <c r="Q84" s="28">
        <v>1</v>
      </c>
      <c r="R84" s="28">
        <v>1</v>
      </c>
      <c r="S84" s="28">
        <v>1</v>
      </c>
      <c r="T84" s="19" t="s">
        <v>206</v>
      </c>
      <c r="U84" s="20">
        <f t="shared" si="7"/>
        <v>1215.242</v>
      </c>
      <c r="V84" s="20">
        <v>1215.242</v>
      </c>
      <c r="W84" s="20"/>
      <c r="X84" s="20"/>
      <c r="Y84" s="21"/>
      <c r="Z84" s="29">
        <f>IF([12]Заяц_беляк!$M$5=0,"",[12]Заяц_беляк!$M$5)</f>
        <v>1143</v>
      </c>
      <c r="AA84" s="29">
        <f>IF([12]Заяц_беляк!$N$5=0,"",[12]Заяц_беляк!$N$5)</f>
        <v>39.200000000000003</v>
      </c>
      <c r="AB84" s="29">
        <f>IF([12]Заяц_беляк!$O$5=0,"",[12]Заяц_беляк!$O$5)</f>
        <v>33</v>
      </c>
      <c r="AC84" s="29">
        <f t="shared" si="31"/>
        <v>1215.2</v>
      </c>
      <c r="AD84" s="23">
        <f>280+(AC84-200)*0.1</f>
        <v>381.52</v>
      </c>
      <c r="AE84" s="23">
        <f t="shared" si="36"/>
        <v>358.85233706385776</v>
      </c>
      <c r="AF84" s="23">
        <f t="shared" si="37"/>
        <v>12.307096774193548</v>
      </c>
      <c r="AG84" s="23">
        <f t="shared" si="38"/>
        <v>10.36056616194865</v>
      </c>
      <c r="AH84" s="23">
        <f t="shared" si="39"/>
        <v>50.86933333333333</v>
      </c>
      <c r="AI84" s="23">
        <f t="shared" si="40"/>
        <v>25.434666666666665</v>
      </c>
      <c r="AJ84" s="23">
        <f t="shared" si="41"/>
        <v>76.304000000000002</v>
      </c>
      <c r="AK84" s="30"/>
      <c r="AL84" s="24"/>
      <c r="AM84" s="24"/>
      <c r="AN84" s="24"/>
      <c r="AO84" s="24"/>
      <c r="AP84" s="24"/>
      <c r="AQ84" s="24"/>
      <c r="AR84" s="30">
        <v>1143</v>
      </c>
      <c r="AS84" s="30"/>
      <c r="AT84" s="30"/>
      <c r="AU84" s="30"/>
      <c r="AV84" s="30"/>
    </row>
    <row r="85" spans="1:48" s="25" customFormat="1" ht="34.5" customHeight="1" x14ac:dyDescent="0.3">
      <c r="A85" s="26">
        <v>77</v>
      </c>
      <c r="B85" s="26"/>
      <c r="C85" s="16" t="s">
        <v>207</v>
      </c>
      <c r="D85" s="19" t="s">
        <v>208</v>
      </c>
      <c r="E85" s="17">
        <v>41547</v>
      </c>
      <c r="F85" s="18">
        <v>71</v>
      </c>
      <c r="G85" s="17"/>
      <c r="H85" s="28">
        <v>1</v>
      </c>
      <c r="I85" s="18" t="s">
        <v>45</v>
      </c>
      <c r="J85" s="18" t="s">
        <v>45</v>
      </c>
      <c r="K85" s="18" t="s">
        <v>45</v>
      </c>
      <c r="L85" s="18" t="s">
        <v>45</v>
      </c>
      <c r="M85" s="18" t="s">
        <v>45</v>
      </c>
      <c r="N85" s="18" t="s">
        <v>45</v>
      </c>
      <c r="O85" s="18" t="s">
        <v>45</v>
      </c>
      <c r="P85" s="18" t="s">
        <v>45</v>
      </c>
      <c r="Q85" s="28">
        <v>1</v>
      </c>
      <c r="R85" s="18" t="s">
        <v>45</v>
      </c>
      <c r="S85" s="18" t="s">
        <v>45</v>
      </c>
      <c r="T85" s="19" t="s">
        <v>209</v>
      </c>
      <c r="U85" s="20">
        <f t="shared" si="7"/>
        <v>157.33080000000001</v>
      </c>
      <c r="V85" s="20">
        <v>157.33080000000001</v>
      </c>
      <c r="W85" s="20"/>
      <c r="X85" s="20"/>
      <c r="Y85" s="21"/>
      <c r="Z85" s="29">
        <f>IF([13]Заяц_беляк!$M$5=0,"",[13]Заяц_беляк!$M$5)</f>
        <v>157.30000000000001</v>
      </c>
      <c r="AA85" s="29">
        <v>0</v>
      </c>
      <c r="AB85" s="29">
        <v>0</v>
      </c>
      <c r="AC85" s="29">
        <f t="shared" si="31"/>
        <v>157.30000000000001</v>
      </c>
      <c r="AD85" s="23">
        <f>160+(AC85-50)*0.8</f>
        <v>245.84000000000003</v>
      </c>
      <c r="AE85" s="23">
        <f t="shared" si="36"/>
        <v>245.84</v>
      </c>
      <c r="AF85" s="23">
        <f t="shared" si="37"/>
        <v>0</v>
      </c>
      <c r="AG85" s="23">
        <f t="shared" si="38"/>
        <v>0</v>
      </c>
      <c r="AH85" s="23">
        <f t="shared" si="39"/>
        <v>32.778666666666673</v>
      </c>
      <c r="AI85" s="23">
        <f t="shared" si="40"/>
        <v>16.389333333333337</v>
      </c>
      <c r="AJ85" s="23">
        <f t="shared" si="41"/>
        <v>49.168000000000006</v>
      </c>
      <c r="AK85" s="30"/>
      <c r="AL85" s="24"/>
      <c r="AM85" s="24"/>
      <c r="AN85" s="24"/>
      <c r="AO85" s="24"/>
      <c r="AP85" s="24"/>
      <c r="AQ85" s="24"/>
      <c r="AR85" s="24"/>
      <c r="AS85" s="24"/>
      <c r="AT85" s="30"/>
      <c r="AU85" s="24"/>
      <c r="AV85" s="24"/>
    </row>
    <row r="86" spans="1:48" s="25" customFormat="1" ht="36.75" customHeight="1" x14ac:dyDescent="0.3">
      <c r="A86" s="26">
        <v>78</v>
      </c>
      <c r="B86" s="26"/>
      <c r="C86" s="16" t="s">
        <v>157</v>
      </c>
      <c r="D86" s="19" t="s">
        <v>158</v>
      </c>
      <c r="E86" s="17">
        <v>41088</v>
      </c>
      <c r="F86" s="18">
        <v>45</v>
      </c>
      <c r="G86" s="27">
        <v>42039</v>
      </c>
      <c r="H86" s="28">
        <v>1</v>
      </c>
      <c r="I86" s="18" t="s">
        <v>45</v>
      </c>
      <c r="J86" s="18" t="s">
        <v>45</v>
      </c>
      <c r="K86" s="28">
        <v>1</v>
      </c>
      <c r="L86" s="18" t="s">
        <v>45</v>
      </c>
      <c r="M86" s="64">
        <v>1</v>
      </c>
      <c r="N86" s="18" t="s">
        <v>45</v>
      </c>
      <c r="O86" s="28">
        <v>1</v>
      </c>
      <c r="P86" s="28">
        <v>1</v>
      </c>
      <c r="Q86" s="28">
        <v>1</v>
      </c>
      <c r="R86" s="28">
        <v>1</v>
      </c>
      <c r="S86" s="28">
        <v>1</v>
      </c>
      <c r="T86" s="19" t="s">
        <v>210</v>
      </c>
      <c r="U86" s="20">
        <f t="shared" ref="U86:U172" si="48">V86+W86+X86</f>
        <v>2435.0700000000002</v>
      </c>
      <c r="V86" s="20">
        <v>2435.0700000000002</v>
      </c>
      <c r="W86" s="20"/>
      <c r="X86" s="20"/>
      <c r="Y86" s="21" t="s">
        <v>211</v>
      </c>
      <c r="Z86" s="29">
        <v>2435.0700000000002</v>
      </c>
      <c r="AA86" s="29">
        <v>0</v>
      </c>
      <c r="AB86" s="29">
        <v>0</v>
      </c>
      <c r="AC86" s="29">
        <f t="shared" si="31"/>
        <v>2435.0700000000002</v>
      </c>
      <c r="AD86" s="23">
        <f>280+(AC86-200)*0.1</f>
        <v>503.50700000000006</v>
      </c>
      <c r="AE86" s="23">
        <f t="shared" si="36"/>
        <v>503.50700000000006</v>
      </c>
      <c r="AF86" s="23">
        <f t="shared" si="37"/>
        <v>0</v>
      </c>
      <c r="AG86" s="23">
        <f t="shared" si="38"/>
        <v>0</v>
      </c>
      <c r="AH86" s="23">
        <f t="shared" si="39"/>
        <v>67.134266666666676</v>
      </c>
      <c r="AI86" s="23">
        <f t="shared" si="40"/>
        <v>33.567133333333338</v>
      </c>
      <c r="AJ86" s="23">
        <f t="shared" si="41"/>
        <v>100.70140000000001</v>
      </c>
      <c r="AK86" s="30"/>
      <c r="AL86" s="24"/>
      <c r="AM86" s="24"/>
      <c r="AN86" s="30"/>
      <c r="AO86" s="24"/>
      <c r="AP86" s="65"/>
      <c r="AQ86" s="24"/>
      <c r="AR86" s="30">
        <v>2435.0700000000002</v>
      </c>
      <c r="AS86" s="30"/>
      <c r="AT86" s="30"/>
      <c r="AU86" s="30"/>
      <c r="AV86" s="30"/>
    </row>
    <row r="87" spans="1:48" s="25" customFormat="1" ht="38.25" customHeight="1" x14ac:dyDescent="0.3">
      <c r="A87" s="26">
        <v>79</v>
      </c>
      <c r="B87" s="26"/>
      <c r="C87" s="61" t="s">
        <v>212</v>
      </c>
      <c r="D87" s="19" t="s">
        <v>213</v>
      </c>
      <c r="E87" s="17" t="s">
        <v>214</v>
      </c>
      <c r="F87" s="18" t="s">
        <v>215</v>
      </c>
      <c r="G87" s="17"/>
      <c r="H87" s="28">
        <v>1</v>
      </c>
      <c r="I87" s="18" t="s">
        <v>45</v>
      </c>
      <c r="J87" s="28">
        <v>1</v>
      </c>
      <c r="K87" s="18" t="s">
        <v>45</v>
      </c>
      <c r="L87" s="18" t="s">
        <v>45</v>
      </c>
      <c r="M87" s="18" t="s">
        <v>45</v>
      </c>
      <c r="N87" s="18" t="s">
        <v>45</v>
      </c>
      <c r="O87" s="28">
        <v>1</v>
      </c>
      <c r="P87" s="28">
        <v>1</v>
      </c>
      <c r="Q87" s="28">
        <v>1</v>
      </c>
      <c r="R87" s="28">
        <v>1</v>
      </c>
      <c r="S87" s="28">
        <v>1</v>
      </c>
      <c r="T87" s="19" t="s">
        <v>168</v>
      </c>
      <c r="U87" s="20">
        <f t="shared" si="48"/>
        <v>44.853999999999999</v>
      </c>
      <c r="V87" s="20">
        <v>44.853999999999999</v>
      </c>
      <c r="W87" s="20"/>
      <c r="X87" s="20"/>
      <c r="Y87" s="21"/>
      <c r="Z87" s="29">
        <v>44.853999999999999</v>
      </c>
      <c r="AA87" s="29">
        <v>0</v>
      </c>
      <c r="AB87" s="29">
        <v>0</v>
      </c>
      <c r="AC87" s="29">
        <f t="shared" si="31"/>
        <v>44.853999999999999</v>
      </c>
      <c r="AD87" s="23">
        <f>100+(AC87-20)*2</f>
        <v>149.708</v>
      </c>
      <c r="AE87" s="23">
        <f t="shared" si="36"/>
        <v>149.708</v>
      </c>
      <c r="AF87" s="23">
        <f t="shared" si="37"/>
        <v>0</v>
      </c>
      <c r="AG87" s="23">
        <f t="shared" si="38"/>
        <v>0</v>
      </c>
      <c r="AH87" s="23">
        <f t="shared" si="39"/>
        <v>19.961066666666667</v>
      </c>
      <c r="AI87" s="23">
        <f t="shared" si="40"/>
        <v>9.9805333333333337</v>
      </c>
      <c r="AJ87" s="23">
        <f t="shared" si="41"/>
        <v>29.941600000000001</v>
      </c>
      <c r="AK87" s="30"/>
      <c r="AL87" s="24"/>
      <c r="AM87" s="30"/>
      <c r="AN87" s="24"/>
      <c r="AO87" s="24"/>
      <c r="AP87" s="24"/>
      <c r="AQ87" s="24"/>
      <c r="AR87" s="30">
        <v>44.853999999999999</v>
      </c>
      <c r="AS87" s="30"/>
      <c r="AT87" s="30"/>
      <c r="AU87" s="30"/>
      <c r="AV87" s="30"/>
    </row>
    <row r="88" spans="1:48" s="42" customFormat="1" x14ac:dyDescent="0.3">
      <c r="A88" s="31"/>
      <c r="B88" s="31"/>
      <c r="C88" s="32" t="s">
        <v>52</v>
      </c>
      <c r="D88" s="33"/>
      <c r="E88" s="34"/>
      <c r="F88" s="35"/>
      <c r="G88" s="36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45">
        <f t="shared" ref="U88:AC88" si="49">SUM(U81:U87)</f>
        <v>10438.6338</v>
      </c>
      <c r="V88" s="45">
        <f t="shared" si="49"/>
        <v>4075.0337999999997</v>
      </c>
      <c r="W88" s="45">
        <f t="shared" si="49"/>
        <v>0</v>
      </c>
      <c r="X88" s="45">
        <f t="shared" si="49"/>
        <v>0</v>
      </c>
      <c r="Y88" s="38">
        <f t="shared" si="49"/>
        <v>10438.6</v>
      </c>
      <c r="Z88" s="39">
        <f t="shared" si="49"/>
        <v>9619.1610000000001</v>
      </c>
      <c r="AA88" s="39">
        <f t="shared" si="49"/>
        <v>45.5</v>
      </c>
      <c r="AB88" s="39">
        <f t="shared" si="49"/>
        <v>773.9</v>
      </c>
      <c r="AC88" s="39">
        <f t="shared" si="49"/>
        <v>10438.561</v>
      </c>
      <c r="AD88" s="40">
        <f>280+(AC88-200)*0.1</f>
        <v>1303.8561</v>
      </c>
      <c r="AE88" s="40">
        <f t="shared" si="36"/>
        <v>1201.5067734654326</v>
      </c>
      <c r="AF88" s="40">
        <f t="shared" si="37"/>
        <v>5.6832979708601599</v>
      </c>
      <c r="AG88" s="40">
        <f t="shared" si="38"/>
        <v>96.666028563707201</v>
      </c>
      <c r="AH88" s="40">
        <f t="shared" si="39"/>
        <v>173.84747999999999</v>
      </c>
      <c r="AI88" s="40">
        <f t="shared" si="40"/>
        <v>86.923739999999995</v>
      </c>
      <c r="AJ88" s="40">
        <f t="shared" si="41"/>
        <v>260.77121999999997</v>
      </c>
      <c r="AK88" s="41"/>
      <c r="AL88" s="41"/>
      <c r="AM88" s="41"/>
      <c r="AN88" s="41"/>
      <c r="AO88" s="41"/>
      <c r="AP88" s="41"/>
      <c r="AQ88" s="41"/>
      <c r="AR88" s="41">
        <v>7836.4550000000008</v>
      </c>
      <c r="AS88" s="41"/>
      <c r="AT88" s="41"/>
      <c r="AU88" s="41"/>
      <c r="AV88" s="41"/>
    </row>
    <row r="89" spans="1:48" s="25" customFormat="1" ht="19.5" customHeight="1" x14ac:dyDescent="0.3">
      <c r="A89" s="15">
        <v>13</v>
      </c>
      <c r="B89" s="15" t="s">
        <v>216</v>
      </c>
      <c r="C89" s="16" t="s">
        <v>58</v>
      </c>
      <c r="D89" s="19"/>
      <c r="E89" s="17"/>
      <c r="F89" s="18"/>
      <c r="G89" s="17"/>
      <c r="H89" s="18"/>
      <c r="I89" s="18"/>
      <c r="J89" s="18"/>
      <c r="K89" s="18"/>
      <c r="L89" s="18"/>
      <c r="M89" s="43"/>
      <c r="N89" s="18"/>
      <c r="O89" s="18"/>
      <c r="P89" s="18"/>
      <c r="Q89" s="18"/>
      <c r="R89" s="18"/>
      <c r="S89" s="18"/>
      <c r="T89" s="19"/>
      <c r="U89" s="20">
        <v>188.1</v>
      </c>
      <c r="V89" s="20"/>
      <c r="W89" s="20"/>
      <c r="X89" s="20"/>
      <c r="Y89" s="21">
        <v>884.6</v>
      </c>
      <c r="Z89" s="22">
        <v>188.1</v>
      </c>
      <c r="AA89" s="22">
        <v>0</v>
      </c>
      <c r="AB89" s="22">
        <v>0</v>
      </c>
      <c r="AC89" s="22">
        <f>IF(SUM(Z89:AB89)=0,"",SUM(Z89:AB89))</f>
        <v>188.1</v>
      </c>
      <c r="AD89" s="23">
        <f t="shared" ref="AD89:AD91" si="50">160+(AC89-50)*0.8</f>
        <v>270.48</v>
      </c>
      <c r="AE89" s="23">
        <f t="shared" si="36"/>
        <v>270.48</v>
      </c>
      <c r="AF89" s="23">
        <f t="shared" si="37"/>
        <v>0</v>
      </c>
      <c r="AG89" s="23">
        <f t="shared" si="38"/>
        <v>0</v>
      </c>
      <c r="AH89" s="23">
        <f t="shared" si="39"/>
        <v>36.064</v>
      </c>
      <c r="AI89" s="23">
        <f t="shared" si="40"/>
        <v>18.032</v>
      </c>
      <c r="AJ89" s="23">
        <f t="shared" si="41"/>
        <v>54.096000000000004</v>
      </c>
      <c r="AK89" s="24"/>
      <c r="AL89" s="24"/>
      <c r="AM89" s="24"/>
      <c r="AN89" s="24"/>
      <c r="AO89" s="24"/>
      <c r="AP89" s="44"/>
      <c r="AQ89" s="24"/>
      <c r="AR89" s="24">
        <v>320.25</v>
      </c>
      <c r="AS89" s="24"/>
      <c r="AT89" s="24"/>
      <c r="AU89" s="24"/>
      <c r="AV89" s="24"/>
    </row>
    <row r="90" spans="1:48" s="25" customFormat="1" ht="35.25" customHeight="1" x14ac:dyDescent="0.3">
      <c r="A90" s="26">
        <v>83</v>
      </c>
      <c r="B90" s="26"/>
      <c r="C90" s="16" t="s">
        <v>217</v>
      </c>
      <c r="D90" s="19" t="s">
        <v>218</v>
      </c>
      <c r="E90" s="17">
        <v>41625</v>
      </c>
      <c r="F90" s="18">
        <v>81</v>
      </c>
      <c r="G90" s="17"/>
      <c r="H90" s="28">
        <v>1</v>
      </c>
      <c r="I90" s="28">
        <v>1</v>
      </c>
      <c r="J90" s="28">
        <v>1</v>
      </c>
      <c r="K90" s="28">
        <v>1</v>
      </c>
      <c r="L90" s="28">
        <v>1</v>
      </c>
      <c r="M90" s="43" t="s">
        <v>45</v>
      </c>
      <c r="N90" s="18" t="s">
        <v>45</v>
      </c>
      <c r="O90" s="28">
        <v>1</v>
      </c>
      <c r="P90" s="28">
        <v>1</v>
      </c>
      <c r="Q90" s="28">
        <v>1</v>
      </c>
      <c r="R90" s="28">
        <v>1</v>
      </c>
      <c r="S90" s="18" t="s">
        <v>45</v>
      </c>
      <c r="T90" s="19" t="s">
        <v>104</v>
      </c>
      <c r="U90" s="20">
        <f t="shared" si="48"/>
        <v>74.754000000000005</v>
      </c>
      <c r="V90" s="20">
        <v>74.754000000000005</v>
      </c>
      <c r="W90" s="20"/>
      <c r="X90" s="20"/>
      <c r="Y90" s="21"/>
      <c r="Z90" s="29">
        <v>74.754000000000005</v>
      </c>
      <c r="AA90" s="29">
        <v>0</v>
      </c>
      <c r="AB90" s="29">
        <v>0</v>
      </c>
      <c r="AC90" s="29">
        <f t="shared" ref="AC90:AC101" si="51">IF(SUM(Z90:AB90)=0,"",SUM(Z90:AB90))</f>
        <v>74.754000000000005</v>
      </c>
      <c r="AD90" s="23">
        <f t="shared" si="50"/>
        <v>179.8032</v>
      </c>
      <c r="AE90" s="23">
        <f t="shared" si="36"/>
        <v>179.8032</v>
      </c>
      <c r="AF90" s="23">
        <f t="shared" si="37"/>
        <v>0</v>
      </c>
      <c r="AG90" s="23">
        <f t="shared" si="38"/>
        <v>0</v>
      </c>
      <c r="AH90" s="23">
        <f t="shared" si="39"/>
        <v>23.973759999999999</v>
      </c>
      <c r="AI90" s="23">
        <f t="shared" si="40"/>
        <v>11.986880000000001</v>
      </c>
      <c r="AJ90" s="23">
        <f t="shared" si="41"/>
        <v>35.960639999999998</v>
      </c>
      <c r="AK90" s="30"/>
      <c r="AL90" s="30"/>
      <c r="AM90" s="30"/>
      <c r="AN90" s="30"/>
      <c r="AO90" s="30"/>
      <c r="AP90" s="44"/>
      <c r="AQ90" s="24"/>
      <c r="AR90" s="30">
        <v>74.754000000000005</v>
      </c>
      <c r="AS90" s="30"/>
      <c r="AT90" s="30"/>
      <c r="AU90" s="30"/>
      <c r="AV90" s="24"/>
    </row>
    <row r="91" spans="1:48" s="25" customFormat="1" ht="38.25" customHeight="1" x14ac:dyDescent="0.3">
      <c r="A91" s="26">
        <v>84</v>
      </c>
      <c r="B91" s="26"/>
      <c r="C91" s="16" t="s">
        <v>219</v>
      </c>
      <c r="D91" s="19" t="s">
        <v>220</v>
      </c>
      <c r="E91" s="17">
        <v>41095</v>
      </c>
      <c r="F91" s="18">
        <v>46</v>
      </c>
      <c r="G91" s="17"/>
      <c r="H91" s="28">
        <v>1</v>
      </c>
      <c r="I91" s="28">
        <v>1</v>
      </c>
      <c r="J91" s="28">
        <v>1</v>
      </c>
      <c r="K91" s="28">
        <v>1</v>
      </c>
      <c r="L91" s="28">
        <v>1</v>
      </c>
      <c r="M91" s="43" t="s">
        <v>45</v>
      </c>
      <c r="N91" s="28">
        <v>1</v>
      </c>
      <c r="O91" s="28">
        <v>1</v>
      </c>
      <c r="P91" s="28">
        <v>1</v>
      </c>
      <c r="Q91" s="28">
        <v>1</v>
      </c>
      <c r="R91" s="18" t="s">
        <v>45</v>
      </c>
      <c r="S91" s="18" t="s">
        <v>45</v>
      </c>
      <c r="T91" s="19" t="s">
        <v>221</v>
      </c>
      <c r="U91" s="20">
        <f t="shared" si="48"/>
        <v>197.60499999999999</v>
      </c>
      <c r="V91" s="20">
        <v>197.60499999999999</v>
      </c>
      <c r="W91" s="20"/>
      <c r="X91" s="20"/>
      <c r="Y91" s="21"/>
      <c r="Z91" s="29">
        <v>197.6</v>
      </c>
      <c r="AA91" s="29">
        <v>0</v>
      </c>
      <c r="AB91" s="29">
        <v>0</v>
      </c>
      <c r="AC91" s="29">
        <f t="shared" si="51"/>
        <v>197.6</v>
      </c>
      <c r="AD91" s="23">
        <f t="shared" si="50"/>
        <v>278.08</v>
      </c>
      <c r="AE91" s="23">
        <f t="shared" si="36"/>
        <v>278.08</v>
      </c>
      <c r="AF91" s="23">
        <f t="shared" si="37"/>
        <v>0</v>
      </c>
      <c r="AG91" s="23">
        <f t="shared" si="38"/>
        <v>0</v>
      </c>
      <c r="AH91" s="23">
        <f t="shared" si="39"/>
        <v>37.077333333333328</v>
      </c>
      <c r="AI91" s="23">
        <f t="shared" si="40"/>
        <v>18.538666666666664</v>
      </c>
      <c r="AJ91" s="23">
        <f t="shared" si="41"/>
        <v>55.616</v>
      </c>
      <c r="AK91" s="30"/>
      <c r="AL91" s="30"/>
      <c r="AM91" s="30"/>
      <c r="AN91" s="30"/>
      <c r="AO91" s="30"/>
      <c r="AP91" s="44"/>
      <c r="AQ91" s="30"/>
      <c r="AR91" s="30">
        <v>124.6</v>
      </c>
      <c r="AS91" s="30"/>
      <c r="AT91" s="30"/>
      <c r="AU91" s="24"/>
      <c r="AV91" s="24"/>
    </row>
    <row r="92" spans="1:48" s="25" customFormat="1" ht="38.25" customHeight="1" x14ac:dyDescent="0.3">
      <c r="A92" s="26"/>
      <c r="B92" s="26"/>
      <c r="C92" s="16" t="s">
        <v>222</v>
      </c>
      <c r="D92" s="66"/>
      <c r="E92" s="17"/>
      <c r="F92" s="67"/>
      <c r="G92" s="27">
        <v>42093</v>
      </c>
      <c r="H92" s="28">
        <v>1</v>
      </c>
      <c r="I92" s="28">
        <v>1</v>
      </c>
      <c r="J92" s="28">
        <v>1</v>
      </c>
      <c r="K92" s="28">
        <v>1</v>
      </c>
      <c r="L92" s="28">
        <v>1</v>
      </c>
      <c r="M92" s="43" t="s">
        <v>45</v>
      </c>
      <c r="N92" s="18" t="s">
        <v>45</v>
      </c>
      <c r="O92" s="28">
        <v>1</v>
      </c>
      <c r="P92" s="28">
        <v>1</v>
      </c>
      <c r="Q92" s="28">
        <v>1</v>
      </c>
      <c r="R92" s="28">
        <v>1</v>
      </c>
      <c r="S92" s="28">
        <v>1</v>
      </c>
      <c r="T92" s="19" t="s">
        <v>63</v>
      </c>
      <c r="U92" s="20">
        <f t="shared" si="48"/>
        <v>3.137</v>
      </c>
      <c r="V92" s="20">
        <v>3.137</v>
      </c>
      <c r="W92" s="68"/>
      <c r="X92" s="68"/>
      <c r="Y92" s="21"/>
      <c r="Z92" s="29">
        <v>2.1</v>
      </c>
      <c r="AA92" s="29">
        <v>1</v>
      </c>
      <c r="AB92" s="29">
        <v>0</v>
      </c>
      <c r="AC92" s="29">
        <f t="shared" si="51"/>
        <v>3.1</v>
      </c>
      <c r="AD92" s="23"/>
      <c r="AE92" s="23"/>
      <c r="AF92" s="23"/>
      <c r="AG92" s="23"/>
      <c r="AH92" s="23"/>
      <c r="AI92" s="23"/>
      <c r="AJ92" s="23"/>
      <c r="AK92" s="30"/>
      <c r="AL92" s="30"/>
      <c r="AM92" s="30"/>
      <c r="AN92" s="30"/>
      <c r="AO92" s="30"/>
      <c r="AP92" s="44"/>
      <c r="AQ92" s="24"/>
      <c r="AR92" s="30"/>
      <c r="AS92" s="30"/>
      <c r="AT92" s="30"/>
      <c r="AU92" s="30"/>
      <c r="AV92" s="30"/>
    </row>
    <row r="93" spans="1:48" s="25" customFormat="1" ht="36.75" customHeight="1" x14ac:dyDescent="0.3">
      <c r="A93" s="26">
        <v>84</v>
      </c>
      <c r="B93" s="26"/>
      <c r="C93" s="16" t="s">
        <v>223</v>
      </c>
      <c r="D93" s="19" t="s">
        <v>224</v>
      </c>
      <c r="E93" s="17">
        <v>41775</v>
      </c>
      <c r="F93" s="18">
        <v>98</v>
      </c>
      <c r="G93" s="17"/>
      <c r="H93" s="28">
        <v>1</v>
      </c>
      <c r="I93" s="28">
        <v>1</v>
      </c>
      <c r="J93" s="28">
        <v>1</v>
      </c>
      <c r="K93" s="28">
        <v>1</v>
      </c>
      <c r="L93" s="28">
        <v>1</v>
      </c>
      <c r="M93" s="43" t="s">
        <v>45</v>
      </c>
      <c r="N93" s="18" t="s">
        <v>45</v>
      </c>
      <c r="O93" s="28">
        <v>1</v>
      </c>
      <c r="P93" s="28">
        <v>1</v>
      </c>
      <c r="Q93" s="28">
        <v>1</v>
      </c>
      <c r="R93" s="28">
        <v>1</v>
      </c>
      <c r="S93" s="28">
        <v>1</v>
      </c>
      <c r="T93" s="19" t="s">
        <v>63</v>
      </c>
      <c r="U93" s="20">
        <f t="shared" si="48"/>
        <v>15.989000000000001</v>
      </c>
      <c r="V93" s="20">
        <v>15.989000000000001</v>
      </c>
      <c r="W93" s="20"/>
      <c r="X93" s="20"/>
      <c r="Y93" s="21"/>
      <c r="Z93" s="29">
        <v>15.989000000000001</v>
      </c>
      <c r="AA93" s="29">
        <v>0</v>
      </c>
      <c r="AB93" s="29">
        <v>0</v>
      </c>
      <c r="AC93" s="29">
        <f t="shared" si="51"/>
        <v>15.989000000000001</v>
      </c>
      <c r="AD93" s="23">
        <f>50+(AC93-10)*5</f>
        <v>79.945000000000007</v>
      </c>
      <c r="AE93" s="23">
        <f t="shared" si="36"/>
        <v>79.945000000000007</v>
      </c>
      <c r="AF93" s="23">
        <f t="shared" si="37"/>
        <v>0</v>
      </c>
      <c r="AG93" s="23">
        <f t="shared" si="38"/>
        <v>0</v>
      </c>
      <c r="AH93" s="23">
        <f t="shared" si="39"/>
        <v>10.659333333333334</v>
      </c>
      <c r="AI93" s="23">
        <f t="shared" si="40"/>
        <v>5.3296666666666672</v>
      </c>
      <c r="AJ93" s="23">
        <f t="shared" si="41"/>
        <v>15.989000000000001</v>
      </c>
      <c r="AK93" s="30"/>
      <c r="AL93" s="30"/>
      <c r="AM93" s="30"/>
      <c r="AN93" s="30"/>
      <c r="AO93" s="30"/>
      <c r="AP93" s="44"/>
      <c r="AQ93" s="24"/>
      <c r="AR93" s="30"/>
      <c r="AS93" s="30"/>
      <c r="AT93" s="30"/>
      <c r="AU93" s="30"/>
      <c r="AV93" s="30"/>
    </row>
    <row r="94" spans="1:48" s="25" customFormat="1" ht="36.75" customHeight="1" x14ac:dyDescent="0.3">
      <c r="A94" s="26">
        <v>85</v>
      </c>
      <c r="B94" s="26"/>
      <c r="C94" s="16" t="s">
        <v>225</v>
      </c>
      <c r="D94" s="19" t="s">
        <v>226</v>
      </c>
      <c r="E94" s="17" t="s">
        <v>227</v>
      </c>
      <c r="F94" s="18" t="s">
        <v>228</v>
      </c>
      <c r="G94" s="17"/>
      <c r="H94" s="28">
        <v>1</v>
      </c>
      <c r="I94" s="28">
        <v>1</v>
      </c>
      <c r="J94" s="28">
        <v>1</v>
      </c>
      <c r="K94" s="28">
        <v>1</v>
      </c>
      <c r="L94" s="28">
        <v>1</v>
      </c>
      <c r="M94" s="43" t="s">
        <v>45</v>
      </c>
      <c r="N94" s="18" t="s">
        <v>45</v>
      </c>
      <c r="O94" s="28">
        <v>1</v>
      </c>
      <c r="P94" s="28">
        <v>1</v>
      </c>
      <c r="Q94" s="28">
        <v>1</v>
      </c>
      <c r="R94" s="28">
        <v>1</v>
      </c>
      <c r="S94" s="28">
        <v>1</v>
      </c>
      <c r="T94" s="19" t="s">
        <v>131</v>
      </c>
      <c r="U94" s="20">
        <f t="shared" si="48"/>
        <v>150.49199999999999</v>
      </c>
      <c r="V94" s="20">
        <v>83.617999999999995</v>
      </c>
      <c r="W94" s="20">
        <v>0</v>
      </c>
      <c r="X94" s="20">
        <v>66.873999999999995</v>
      </c>
      <c r="Y94" s="21"/>
      <c r="Z94" s="29">
        <v>95.19</v>
      </c>
      <c r="AA94" s="29">
        <v>51.8</v>
      </c>
      <c r="AB94" s="29">
        <v>3.5</v>
      </c>
      <c r="AC94" s="29">
        <f t="shared" si="51"/>
        <v>150.49</v>
      </c>
      <c r="AD94" s="23">
        <f>160+(AC94-50)*0.8</f>
        <v>240.392</v>
      </c>
      <c r="AE94" s="23">
        <f t="shared" si="36"/>
        <v>152.05604678051697</v>
      </c>
      <c r="AF94" s="23">
        <f t="shared" si="37"/>
        <v>82.745070104325862</v>
      </c>
      <c r="AG94" s="23">
        <f t="shared" si="38"/>
        <v>5.590883115157153</v>
      </c>
      <c r="AH94" s="23">
        <f t="shared" si="39"/>
        <v>32.052266666666668</v>
      </c>
      <c r="AI94" s="23">
        <f t="shared" si="40"/>
        <v>16.026133333333334</v>
      </c>
      <c r="AJ94" s="23">
        <f t="shared" si="41"/>
        <v>48.078400000000002</v>
      </c>
      <c r="AK94" s="30"/>
      <c r="AL94" s="30"/>
      <c r="AM94" s="30"/>
      <c r="AN94" s="30"/>
      <c r="AO94" s="30"/>
      <c r="AP94" s="44"/>
      <c r="AQ94" s="24"/>
      <c r="AR94" s="30">
        <v>72.5</v>
      </c>
      <c r="AS94" s="30"/>
      <c r="AT94" s="30"/>
      <c r="AU94" s="30"/>
      <c r="AV94" s="30"/>
    </row>
    <row r="95" spans="1:48" s="25" customFormat="1" ht="36.75" customHeight="1" x14ac:dyDescent="0.3">
      <c r="A95" s="26"/>
      <c r="B95" s="26"/>
      <c r="C95" s="16" t="s">
        <v>229</v>
      </c>
      <c r="D95" s="66"/>
      <c r="E95" s="17"/>
      <c r="F95" s="67"/>
      <c r="G95" s="27">
        <v>42092</v>
      </c>
      <c r="H95" s="28">
        <v>1</v>
      </c>
      <c r="I95" s="28">
        <v>1</v>
      </c>
      <c r="J95" s="28">
        <v>1</v>
      </c>
      <c r="K95" s="28">
        <v>1</v>
      </c>
      <c r="L95" s="18" t="s">
        <v>45</v>
      </c>
      <c r="M95" s="43" t="s">
        <v>45</v>
      </c>
      <c r="N95" s="18" t="s">
        <v>45</v>
      </c>
      <c r="O95" s="28">
        <v>1</v>
      </c>
      <c r="P95" s="28">
        <v>1</v>
      </c>
      <c r="Q95" s="18" t="s">
        <v>45</v>
      </c>
      <c r="R95" s="28">
        <v>1</v>
      </c>
      <c r="S95" s="18" t="s">
        <v>45</v>
      </c>
      <c r="T95" s="19" t="s">
        <v>230</v>
      </c>
      <c r="U95" s="20">
        <f t="shared" si="48"/>
        <v>9.4830000000000005</v>
      </c>
      <c r="V95" s="69">
        <v>9.4830000000000005</v>
      </c>
      <c r="W95" s="68"/>
      <c r="X95" s="68"/>
      <c r="Y95" s="21"/>
      <c r="Z95" s="29">
        <v>8</v>
      </c>
      <c r="AA95" s="29">
        <v>0.9</v>
      </c>
      <c r="AB95" s="29">
        <v>0.5</v>
      </c>
      <c r="AC95" s="29">
        <f t="shared" si="51"/>
        <v>9.4</v>
      </c>
      <c r="AD95" s="23"/>
      <c r="AE95" s="23"/>
      <c r="AF95" s="23"/>
      <c r="AG95" s="23"/>
      <c r="AH95" s="23"/>
      <c r="AI95" s="23"/>
      <c r="AJ95" s="23"/>
      <c r="AK95" s="30"/>
      <c r="AL95" s="30"/>
      <c r="AM95" s="30"/>
      <c r="AN95" s="30"/>
      <c r="AO95" s="24"/>
      <c r="AP95" s="44"/>
      <c r="AQ95" s="24"/>
      <c r="AR95" s="30">
        <v>9.4830000000000005</v>
      </c>
      <c r="AS95" s="30"/>
      <c r="AT95" s="24"/>
      <c r="AU95" s="30"/>
      <c r="AV95" s="24"/>
    </row>
    <row r="96" spans="1:48" s="25" customFormat="1" ht="37.5" customHeight="1" x14ac:dyDescent="0.3">
      <c r="A96" s="26">
        <v>87</v>
      </c>
      <c r="B96" s="26"/>
      <c r="C96" s="16" t="s">
        <v>231</v>
      </c>
      <c r="D96" s="19"/>
      <c r="E96" s="17"/>
      <c r="F96" s="18"/>
      <c r="G96" s="17">
        <v>42638</v>
      </c>
      <c r="H96" s="28">
        <v>1</v>
      </c>
      <c r="I96" s="28">
        <v>1</v>
      </c>
      <c r="J96" s="28">
        <v>1</v>
      </c>
      <c r="K96" s="28">
        <v>1</v>
      </c>
      <c r="L96" s="28">
        <v>1</v>
      </c>
      <c r="M96" s="43" t="s">
        <v>45</v>
      </c>
      <c r="N96" s="18" t="s">
        <v>45</v>
      </c>
      <c r="O96" s="28">
        <v>1</v>
      </c>
      <c r="P96" s="28">
        <v>1</v>
      </c>
      <c r="Q96" s="28">
        <v>1</v>
      </c>
      <c r="R96" s="28">
        <v>1</v>
      </c>
      <c r="S96" s="28"/>
      <c r="T96" s="19" t="s">
        <v>232</v>
      </c>
      <c r="U96" s="20">
        <v>244.994</v>
      </c>
      <c r="V96" s="20"/>
      <c r="W96" s="20"/>
      <c r="X96" s="20"/>
      <c r="Y96" s="21"/>
      <c r="Z96" s="29">
        <v>229.1</v>
      </c>
      <c r="AA96" s="29">
        <v>14.8</v>
      </c>
      <c r="AB96" s="29">
        <v>1.0900000000000001</v>
      </c>
      <c r="AC96" s="29">
        <f t="shared" si="51"/>
        <v>244.99</v>
      </c>
      <c r="AD96" s="23">
        <f t="shared" ref="AD96:AD97" si="52">280+(AC96-200)*0.1</f>
        <v>284.49900000000002</v>
      </c>
      <c r="AE96" s="23">
        <f t="shared" si="36"/>
        <v>266.04645454916528</v>
      </c>
      <c r="AF96" s="23">
        <f t="shared" si="37"/>
        <v>17.186763541369036</v>
      </c>
      <c r="AG96" s="23">
        <f t="shared" si="38"/>
        <v>1.2657819094656926</v>
      </c>
      <c r="AH96" s="23">
        <f t="shared" si="39"/>
        <v>37.933200000000006</v>
      </c>
      <c r="AI96" s="23">
        <f t="shared" si="40"/>
        <v>18.966600000000003</v>
      </c>
      <c r="AJ96" s="23">
        <f t="shared" si="41"/>
        <v>56.899800000000006</v>
      </c>
      <c r="AK96" s="30"/>
      <c r="AL96" s="30"/>
      <c r="AM96" s="30"/>
      <c r="AN96" s="30"/>
      <c r="AO96" s="30"/>
      <c r="AP96" s="44"/>
      <c r="AQ96" s="24"/>
      <c r="AR96" s="30">
        <v>244.994</v>
      </c>
      <c r="AS96" s="30"/>
      <c r="AT96" s="30"/>
      <c r="AU96" s="30"/>
      <c r="AV96" s="30"/>
    </row>
    <row r="97" spans="1:48" s="42" customFormat="1" x14ac:dyDescent="0.3">
      <c r="A97" s="31"/>
      <c r="B97" s="31"/>
      <c r="C97" s="32" t="s">
        <v>52</v>
      </c>
      <c r="D97" s="33"/>
      <c r="E97" s="34"/>
      <c r="F97" s="35"/>
      <c r="G97" s="36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3"/>
      <c r="U97" s="45">
        <f t="shared" ref="U97:AC97" si="53">SUM(U89:U96)</f>
        <v>884.55399999999986</v>
      </c>
      <c r="V97" s="45">
        <f t="shared" si="53"/>
        <v>384.58599999999996</v>
      </c>
      <c r="W97" s="45">
        <f t="shared" si="53"/>
        <v>0</v>
      </c>
      <c r="X97" s="45">
        <f t="shared" si="53"/>
        <v>66.873999999999995</v>
      </c>
      <c r="Y97" s="38">
        <f t="shared" si="53"/>
        <v>884.6</v>
      </c>
      <c r="Z97" s="39">
        <f t="shared" si="53"/>
        <v>810.83299999999997</v>
      </c>
      <c r="AA97" s="39">
        <f t="shared" si="53"/>
        <v>68.5</v>
      </c>
      <c r="AB97" s="39">
        <f t="shared" si="53"/>
        <v>5.09</v>
      </c>
      <c r="AC97" s="39">
        <f t="shared" si="53"/>
        <v>884.42299999999989</v>
      </c>
      <c r="AD97" s="40">
        <f t="shared" si="52"/>
        <v>348.44229999999999</v>
      </c>
      <c r="AE97" s="40">
        <f t="shared" si="36"/>
        <v>319.44953425668484</v>
      </c>
      <c r="AF97" s="40">
        <f t="shared" si="37"/>
        <v>26.987422929978077</v>
      </c>
      <c r="AG97" s="40">
        <f t="shared" si="38"/>
        <v>2.0053428133370574</v>
      </c>
      <c r="AH97" s="40">
        <f t="shared" si="39"/>
        <v>46.458973333333333</v>
      </c>
      <c r="AI97" s="40">
        <f t="shared" si="40"/>
        <v>23.229486666666666</v>
      </c>
      <c r="AJ97" s="40">
        <f t="shared" si="41"/>
        <v>69.688459999999992</v>
      </c>
      <c r="AK97" s="41"/>
      <c r="AL97" s="41"/>
      <c r="AM97" s="41"/>
      <c r="AN97" s="41"/>
      <c r="AO97" s="41"/>
      <c r="AP97" s="41"/>
      <c r="AQ97" s="41"/>
      <c r="AR97" s="41">
        <v>846.58100000000002</v>
      </c>
      <c r="AS97" s="41"/>
      <c r="AT97" s="41"/>
      <c r="AU97" s="41"/>
      <c r="AV97" s="41"/>
    </row>
    <row r="98" spans="1:48" s="72" customFormat="1" ht="19.5" customHeight="1" x14ac:dyDescent="0.25">
      <c r="A98" s="15">
        <v>14</v>
      </c>
      <c r="B98" s="15" t="s">
        <v>233</v>
      </c>
      <c r="C98" s="70" t="s">
        <v>43</v>
      </c>
      <c r="D98" s="19"/>
      <c r="E98" s="71"/>
      <c r="F98" s="18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20">
        <v>143.30000000000001</v>
      </c>
      <c r="V98" s="20"/>
      <c r="W98" s="20"/>
      <c r="X98" s="20"/>
      <c r="Y98" s="21">
        <v>579.79999999999995</v>
      </c>
      <c r="Z98" s="48">
        <v>44.89</v>
      </c>
      <c r="AA98" s="48">
        <v>66</v>
      </c>
      <c r="AB98" s="48">
        <v>0</v>
      </c>
      <c r="AC98" s="48">
        <f t="shared" si="51"/>
        <v>110.89</v>
      </c>
      <c r="AD98" s="23">
        <f>160+(AC98-50)*0.8</f>
        <v>208.71199999999999</v>
      </c>
      <c r="AE98" s="23">
        <f t="shared" si="36"/>
        <v>84.489869961222823</v>
      </c>
      <c r="AF98" s="23">
        <f t="shared" si="37"/>
        <v>124.22213003877715</v>
      </c>
      <c r="AG98" s="23">
        <f t="shared" si="38"/>
        <v>0</v>
      </c>
      <c r="AH98" s="23">
        <f t="shared" si="39"/>
        <v>27.828266666666664</v>
      </c>
      <c r="AI98" s="23">
        <f t="shared" si="40"/>
        <v>13.914133333333332</v>
      </c>
      <c r="AJ98" s="23">
        <f t="shared" si="41"/>
        <v>41.742399999999996</v>
      </c>
      <c r="AK98" s="24"/>
      <c r="AL98" s="24"/>
      <c r="AM98" s="24"/>
      <c r="AN98" s="24"/>
      <c r="AO98" s="24"/>
      <c r="AP98" s="24"/>
      <c r="AQ98" s="24"/>
      <c r="AR98" s="24">
        <v>60</v>
      </c>
      <c r="AS98" s="24"/>
      <c r="AT98" s="24"/>
      <c r="AU98" s="24"/>
      <c r="AV98" s="24"/>
    </row>
    <row r="99" spans="1:48" s="25" customFormat="1" ht="38.25" customHeight="1" x14ac:dyDescent="0.3">
      <c r="A99" s="26"/>
      <c r="B99" s="26"/>
      <c r="C99" s="16" t="s">
        <v>111</v>
      </c>
      <c r="D99" s="66"/>
      <c r="E99" s="17"/>
      <c r="F99" s="67"/>
      <c r="G99" s="27">
        <v>42092</v>
      </c>
      <c r="H99" s="28">
        <v>1</v>
      </c>
      <c r="I99" s="28">
        <v>1</v>
      </c>
      <c r="J99" s="28">
        <v>1</v>
      </c>
      <c r="K99" s="28">
        <v>1</v>
      </c>
      <c r="L99" s="18" t="s">
        <v>45</v>
      </c>
      <c r="M99" s="18" t="s">
        <v>45</v>
      </c>
      <c r="N99" s="18" t="s">
        <v>45</v>
      </c>
      <c r="O99" s="28">
        <v>1</v>
      </c>
      <c r="P99" s="18" t="s">
        <v>45</v>
      </c>
      <c r="Q99" s="28">
        <v>1</v>
      </c>
      <c r="R99" s="28">
        <v>1</v>
      </c>
      <c r="S99" s="28">
        <v>1</v>
      </c>
      <c r="T99" s="19" t="s">
        <v>112</v>
      </c>
      <c r="U99" s="20">
        <f t="shared" si="48"/>
        <v>19.774999999999999</v>
      </c>
      <c r="V99" s="69">
        <v>19.774999999999999</v>
      </c>
      <c r="W99" s="68"/>
      <c r="X99" s="68"/>
      <c r="Y99" s="21" t="s">
        <v>234</v>
      </c>
      <c r="Z99" s="29">
        <v>18.87</v>
      </c>
      <c r="AA99" s="29">
        <v>0.6</v>
      </c>
      <c r="AB99" s="29">
        <v>0.3</v>
      </c>
      <c r="AC99" s="50">
        <f t="shared" si="51"/>
        <v>19.770000000000003</v>
      </c>
      <c r="AD99" s="23">
        <f>50+(AC99-10)*5</f>
        <v>98.850000000000023</v>
      </c>
      <c r="AE99" s="23">
        <f t="shared" si="36"/>
        <v>94.350000000000009</v>
      </c>
      <c r="AF99" s="23">
        <f t="shared" si="37"/>
        <v>3</v>
      </c>
      <c r="AG99" s="23">
        <f t="shared" si="38"/>
        <v>1.5</v>
      </c>
      <c r="AH99" s="23">
        <f t="shared" si="39"/>
        <v>13.180000000000003</v>
      </c>
      <c r="AI99" s="23">
        <f t="shared" si="40"/>
        <v>6.5900000000000016</v>
      </c>
      <c r="AJ99" s="23">
        <f t="shared" si="41"/>
        <v>19.770000000000003</v>
      </c>
      <c r="AK99" s="30"/>
      <c r="AL99" s="30"/>
      <c r="AM99" s="30"/>
      <c r="AN99" s="30"/>
      <c r="AO99" s="24"/>
      <c r="AP99" s="24"/>
      <c r="AQ99" s="24"/>
      <c r="AR99" s="30">
        <v>19.754999999999999</v>
      </c>
      <c r="AS99" s="24"/>
      <c r="AT99" s="30"/>
      <c r="AU99" s="30"/>
      <c r="AV99" s="30"/>
    </row>
    <row r="100" spans="1:48" s="25" customFormat="1" ht="56.25" customHeight="1" x14ac:dyDescent="0.3">
      <c r="A100" s="26"/>
      <c r="B100" s="26"/>
      <c r="C100" s="16" t="s">
        <v>235</v>
      </c>
      <c r="D100" s="19"/>
      <c r="E100" s="17"/>
      <c r="F100" s="18"/>
      <c r="G100" s="17">
        <v>42638</v>
      </c>
      <c r="H100" s="28">
        <v>1</v>
      </c>
      <c r="I100" s="28">
        <v>1</v>
      </c>
      <c r="J100" s="28">
        <v>1</v>
      </c>
      <c r="K100" s="28">
        <v>1</v>
      </c>
      <c r="L100" s="18" t="s">
        <v>45</v>
      </c>
      <c r="M100" s="18" t="s">
        <v>45</v>
      </c>
      <c r="N100" s="18" t="s">
        <v>45</v>
      </c>
      <c r="O100" s="28">
        <v>1</v>
      </c>
      <c r="P100" s="28">
        <v>1</v>
      </c>
      <c r="Q100" s="28">
        <v>1</v>
      </c>
      <c r="R100" s="18" t="s">
        <v>45</v>
      </c>
      <c r="S100" s="28">
        <v>1</v>
      </c>
      <c r="T100" s="19" t="s">
        <v>156</v>
      </c>
      <c r="U100" s="20">
        <v>44.962000000000003</v>
      </c>
      <c r="V100" s="20" t="s">
        <v>73</v>
      </c>
      <c r="W100" s="20" t="s">
        <v>73</v>
      </c>
      <c r="X100" s="20"/>
      <c r="Y100" s="21" t="s">
        <v>236</v>
      </c>
      <c r="Z100" s="50">
        <v>44.962000000000003</v>
      </c>
      <c r="AA100" s="50">
        <v>0</v>
      </c>
      <c r="AB100" s="50">
        <v>0</v>
      </c>
      <c r="AC100" s="50">
        <f>IF(SUM(Z100:AB100)=0,"",SUM(Z100:AB100))</f>
        <v>44.962000000000003</v>
      </c>
      <c r="AD100" s="23">
        <f>100+(AC100-20)*2</f>
        <v>149.92400000000001</v>
      </c>
      <c r="AE100" s="23">
        <f t="shared" si="36"/>
        <v>149.92400000000001</v>
      </c>
      <c r="AF100" s="23">
        <f t="shared" si="37"/>
        <v>0</v>
      </c>
      <c r="AG100" s="23">
        <f t="shared" si="38"/>
        <v>0</v>
      </c>
      <c r="AH100" s="23">
        <f t="shared" si="39"/>
        <v>19.989866666666668</v>
      </c>
      <c r="AI100" s="23">
        <f t="shared" si="40"/>
        <v>9.9949333333333339</v>
      </c>
      <c r="AJ100" s="23">
        <f t="shared" si="41"/>
        <v>29.9848</v>
      </c>
      <c r="AK100" s="30"/>
      <c r="AL100" s="30"/>
      <c r="AM100" s="30"/>
      <c r="AN100" s="30"/>
      <c r="AO100" s="24"/>
      <c r="AP100" s="24"/>
      <c r="AQ100" s="24"/>
      <c r="AR100" s="30"/>
      <c r="AS100" s="30"/>
      <c r="AT100" s="30"/>
      <c r="AU100" s="24"/>
      <c r="AV100" s="30"/>
    </row>
    <row r="101" spans="1:48" s="72" customFormat="1" ht="40.5" customHeight="1" x14ac:dyDescent="0.25">
      <c r="A101" s="26">
        <v>91</v>
      </c>
      <c r="B101" s="26"/>
      <c r="C101" s="70" t="s">
        <v>237</v>
      </c>
      <c r="D101" s="19" t="s">
        <v>238</v>
      </c>
      <c r="E101" s="17">
        <v>41590</v>
      </c>
      <c r="F101" s="18">
        <v>74</v>
      </c>
      <c r="G101" s="17"/>
      <c r="H101" s="28">
        <v>1</v>
      </c>
      <c r="I101" s="28">
        <v>1</v>
      </c>
      <c r="J101" s="28">
        <v>1</v>
      </c>
      <c r="K101" s="28">
        <v>1</v>
      </c>
      <c r="L101" s="28">
        <v>1</v>
      </c>
      <c r="M101" s="18" t="s">
        <v>45</v>
      </c>
      <c r="N101" s="18" t="s">
        <v>45</v>
      </c>
      <c r="O101" s="28">
        <v>1</v>
      </c>
      <c r="P101" s="28">
        <v>1</v>
      </c>
      <c r="Q101" s="28">
        <v>1</v>
      </c>
      <c r="R101" s="28">
        <v>1</v>
      </c>
      <c r="S101" s="28">
        <v>1</v>
      </c>
      <c r="T101" s="19" t="s">
        <v>63</v>
      </c>
      <c r="U101" s="20">
        <f t="shared" si="48"/>
        <v>349.37800000000004</v>
      </c>
      <c r="V101" s="20">
        <v>265.31700000000001</v>
      </c>
      <c r="W101" s="20">
        <v>84.061000000000007</v>
      </c>
      <c r="X101" s="20"/>
      <c r="Y101" s="21"/>
      <c r="Z101" s="50">
        <v>263.20999999999998</v>
      </c>
      <c r="AA101" s="50">
        <v>86.17</v>
      </c>
      <c r="AB101" s="50">
        <v>0</v>
      </c>
      <c r="AC101" s="50">
        <f t="shared" si="51"/>
        <v>349.38</v>
      </c>
      <c r="AD101" s="23">
        <f>280+(AC101-200)*0.1</f>
        <v>294.93799999999999</v>
      </c>
      <c r="AE101" s="23">
        <f t="shared" si="36"/>
        <v>222.19540609078936</v>
      </c>
      <c r="AF101" s="23">
        <f t="shared" si="37"/>
        <v>72.742593909210598</v>
      </c>
      <c r="AG101" s="23">
        <f t="shared" si="38"/>
        <v>0</v>
      </c>
      <c r="AH101" s="23">
        <f t="shared" si="39"/>
        <v>39.325066666666665</v>
      </c>
      <c r="AI101" s="23">
        <f t="shared" si="40"/>
        <v>19.662533333333332</v>
      </c>
      <c r="AJ101" s="23">
        <f t="shared" si="41"/>
        <v>58.9876</v>
      </c>
      <c r="AK101" s="30"/>
      <c r="AL101" s="30"/>
      <c r="AM101" s="30"/>
      <c r="AN101" s="30"/>
      <c r="AO101" s="30"/>
      <c r="AP101" s="24"/>
      <c r="AQ101" s="24"/>
      <c r="AR101" s="30">
        <v>285</v>
      </c>
      <c r="AS101" s="30"/>
      <c r="AT101" s="30"/>
      <c r="AU101" s="30"/>
      <c r="AV101" s="30"/>
    </row>
    <row r="102" spans="1:48" s="25" customFormat="1" ht="40.5" customHeight="1" collapsed="1" x14ac:dyDescent="0.3">
      <c r="A102" s="26">
        <v>93</v>
      </c>
      <c r="B102" s="26"/>
      <c r="C102" s="16" t="s">
        <v>239</v>
      </c>
      <c r="D102" s="19" t="s">
        <v>240</v>
      </c>
      <c r="E102" s="17">
        <v>40870</v>
      </c>
      <c r="F102" s="18">
        <v>28</v>
      </c>
      <c r="G102" s="17"/>
      <c r="H102" s="28">
        <v>1</v>
      </c>
      <c r="I102" s="28">
        <v>1</v>
      </c>
      <c r="J102" s="18" t="s">
        <v>45</v>
      </c>
      <c r="K102" s="28">
        <v>1</v>
      </c>
      <c r="L102" s="18" t="s">
        <v>45</v>
      </c>
      <c r="M102" s="18" t="s">
        <v>45</v>
      </c>
      <c r="N102" s="18" t="s">
        <v>45</v>
      </c>
      <c r="O102" s="28">
        <v>1</v>
      </c>
      <c r="P102" s="18" t="s">
        <v>45</v>
      </c>
      <c r="Q102" s="28">
        <v>1</v>
      </c>
      <c r="R102" s="18" t="s">
        <v>45</v>
      </c>
      <c r="S102" s="28">
        <v>1</v>
      </c>
      <c r="T102" s="19" t="s">
        <v>241</v>
      </c>
      <c r="U102" s="20">
        <f t="shared" si="48"/>
        <v>22.375</v>
      </c>
      <c r="V102" s="20">
        <v>22.375</v>
      </c>
      <c r="W102" s="20"/>
      <c r="X102" s="20"/>
      <c r="Y102" s="21">
        <v>22.375</v>
      </c>
      <c r="Z102" s="29">
        <v>22.375</v>
      </c>
      <c r="AA102" s="29">
        <v>0</v>
      </c>
      <c r="AB102" s="29">
        <v>0</v>
      </c>
      <c r="AC102" s="29">
        <f>IF(SUM(Z102:AB102)=0,"",SUM(Z102:AB102))</f>
        <v>22.375</v>
      </c>
      <c r="AD102" s="23">
        <f>100+(AC102-20)*2</f>
        <v>104.75</v>
      </c>
      <c r="AE102" s="23">
        <f t="shared" si="36"/>
        <v>104.75</v>
      </c>
      <c r="AF102" s="23">
        <f t="shared" si="37"/>
        <v>0</v>
      </c>
      <c r="AG102" s="23">
        <f t="shared" si="38"/>
        <v>0</v>
      </c>
      <c r="AH102" s="23">
        <f t="shared" si="39"/>
        <v>13.966666666666667</v>
      </c>
      <c r="AI102" s="23">
        <f t="shared" si="40"/>
        <v>6.9833333333333334</v>
      </c>
      <c r="AJ102" s="23">
        <f t="shared" si="41"/>
        <v>20.95</v>
      </c>
      <c r="AK102" s="30"/>
      <c r="AL102" s="30"/>
      <c r="AM102" s="24"/>
      <c r="AN102" s="30"/>
      <c r="AO102" s="24"/>
      <c r="AP102" s="24"/>
      <c r="AQ102" s="24"/>
      <c r="AR102" s="30">
        <v>22.375</v>
      </c>
      <c r="AS102" s="24"/>
      <c r="AT102" s="30"/>
      <c r="AU102" s="24"/>
      <c r="AV102" s="30"/>
    </row>
    <row r="103" spans="1:48" s="42" customFormat="1" x14ac:dyDescent="0.3">
      <c r="A103" s="31"/>
      <c r="B103" s="31"/>
      <c r="C103" s="32" t="s">
        <v>52</v>
      </c>
      <c r="D103" s="33"/>
      <c r="E103" s="34"/>
      <c r="F103" s="35"/>
      <c r="G103" s="36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3"/>
      <c r="U103" s="37">
        <f t="shared" ref="U103:AC103" si="54">SUM(U98:U102)</f>
        <v>579.79000000000008</v>
      </c>
      <c r="V103" s="37">
        <f t="shared" si="54"/>
        <v>307.46699999999998</v>
      </c>
      <c r="W103" s="37">
        <f t="shared" si="54"/>
        <v>84.061000000000007</v>
      </c>
      <c r="X103" s="37">
        <f t="shared" si="54"/>
        <v>0</v>
      </c>
      <c r="Y103" s="38">
        <f t="shared" si="54"/>
        <v>602.17499999999995</v>
      </c>
      <c r="Z103" s="39">
        <f t="shared" si="54"/>
        <v>394.30700000000002</v>
      </c>
      <c r="AA103" s="39">
        <f t="shared" si="54"/>
        <v>152.76999999999998</v>
      </c>
      <c r="AB103" s="39">
        <f t="shared" si="54"/>
        <v>0.3</v>
      </c>
      <c r="AC103" s="39">
        <f t="shared" si="54"/>
        <v>547.37699999999995</v>
      </c>
      <c r="AD103" s="40">
        <f t="shared" ref="AD103:AD104" si="55">280+(AC103-200)*0.1</f>
        <v>314.73770000000002</v>
      </c>
      <c r="AE103" s="40">
        <f t="shared" si="36"/>
        <v>226.72358954413508</v>
      </c>
      <c r="AF103" s="40">
        <f t="shared" si="37"/>
        <v>87.841612689243433</v>
      </c>
      <c r="AG103" s="40">
        <f t="shared" si="38"/>
        <v>0.1724977666215424</v>
      </c>
      <c r="AH103" s="40">
        <f t="shared" si="39"/>
        <v>41.965026666666667</v>
      </c>
      <c r="AI103" s="40">
        <f t="shared" si="40"/>
        <v>20.982513333333333</v>
      </c>
      <c r="AJ103" s="40">
        <f t="shared" si="41"/>
        <v>62.947540000000004</v>
      </c>
      <c r="AK103" s="41"/>
      <c r="AL103" s="41"/>
      <c r="AM103" s="41"/>
      <c r="AN103" s="41"/>
      <c r="AO103" s="41"/>
      <c r="AP103" s="41"/>
      <c r="AQ103" s="41"/>
      <c r="AR103" s="41">
        <v>387.13</v>
      </c>
      <c r="AS103" s="41"/>
      <c r="AT103" s="41"/>
      <c r="AU103" s="41"/>
      <c r="AV103" s="41"/>
    </row>
    <row r="104" spans="1:48" s="25" customFormat="1" ht="18" customHeight="1" x14ac:dyDescent="0.3">
      <c r="A104" s="15">
        <v>15</v>
      </c>
      <c r="B104" s="15" t="s">
        <v>242</v>
      </c>
      <c r="C104" s="16" t="s">
        <v>43</v>
      </c>
      <c r="D104" s="19"/>
      <c r="E104" s="17"/>
      <c r="F104" s="18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20">
        <v>200.4</v>
      </c>
      <c r="V104" s="20"/>
      <c r="W104" s="20"/>
      <c r="X104" s="20"/>
      <c r="Y104" s="21">
        <v>365.6</v>
      </c>
      <c r="Z104" s="22">
        <v>200.4</v>
      </c>
      <c r="AA104" s="22">
        <v>0</v>
      </c>
      <c r="AB104" s="22">
        <v>0</v>
      </c>
      <c r="AC104" s="22">
        <f>SUM(Z104:AB104)</f>
        <v>200.4</v>
      </c>
      <c r="AD104" s="23">
        <f t="shared" si="55"/>
        <v>280.04000000000002</v>
      </c>
      <c r="AE104" s="23">
        <f t="shared" si="36"/>
        <v>280.04000000000002</v>
      </c>
      <c r="AF104" s="23">
        <f t="shared" si="37"/>
        <v>0</v>
      </c>
      <c r="AG104" s="23">
        <f t="shared" si="38"/>
        <v>0</v>
      </c>
      <c r="AH104" s="23">
        <f t="shared" si="39"/>
        <v>37.338666666666668</v>
      </c>
      <c r="AI104" s="23">
        <f t="shared" si="40"/>
        <v>18.669333333333334</v>
      </c>
      <c r="AJ104" s="23">
        <f t="shared" si="41"/>
        <v>56.008000000000003</v>
      </c>
      <c r="AK104" s="24"/>
      <c r="AL104" s="24"/>
      <c r="AM104" s="24"/>
      <c r="AN104" s="24"/>
      <c r="AO104" s="24"/>
      <c r="AP104" s="24"/>
      <c r="AQ104" s="24"/>
      <c r="AR104" s="24">
        <v>95.19</v>
      </c>
      <c r="AS104" s="24"/>
      <c r="AT104" s="24"/>
      <c r="AU104" s="24"/>
      <c r="AV104" s="24"/>
    </row>
    <row r="105" spans="1:48" s="25" customFormat="1" ht="36.75" customHeight="1" collapsed="1" x14ac:dyDescent="0.3">
      <c r="A105" s="26"/>
      <c r="B105" s="26"/>
      <c r="C105" s="16" t="s">
        <v>243</v>
      </c>
      <c r="D105" s="73" t="s">
        <v>244</v>
      </c>
      <c r="E105" s="17">
        <v>40893</v>
      </c>
      <c r="F105" s="18">
        <v>35</v>
      </c>
      <c r="G105" s="17"/>
      <c r="H105" s="28">
        <v>1</v>
      </c>
      <c r="I105" s="28">
        <v>1</v>
      </c>
      <c r="J105" s="28">
        <v>1</v>
      </c>
      <c r="K105" s="28">
        <v>1</v>
      </c>
      <c r="L105" s="28">
        <v>1</v>
      </c>
      <c r="M105" s="18" t="s">
        <v>45</v>
      </c>
      <c r="N105" s="18" t="s">
        <v>45</v>
      </c>
      <c r="O105" s="28">
        <v>1</v>
      </c>
      <c r="P105" s="28">
        <v>1</v>
      </c>
      <c r="Q105" s="28">
        <v>1</v>
      </c>
      <c r="R105" s="28">
        <v>1</v>
      </c>
      <c r="S105" s="28">
        <v>1</v>
      </c>
      <c r="T105" s="19" t="s">
        <v>76</v>
      </c>
      <c r="U105" s="20">
        <f t="shared" si="48"/>
        <v>165.233</v>
      </c>
      <c r="V105" s="20">
        <v>129.80699999999999</v>
      </c>
      <c r="W105" s="20">
        <v>35.426000000000002</v>
      </c>
      <c r="X105" s="20"/>
      <c r="Y105" s="21"/>
      <c r="Z105" s="29">
        <f>IF([14]Заяц_беляк!$M$5=0,"",[14]Заяц_беляк!$M$5)</f>
        <v>129.80000000000001</v>
      </c>
      <c r="AA105" s="29">
        <f>IF([14]Заяц_беляк!$N$5=0,"",[14]Заяц_беляк!$N$5)</f>
        <v>27.5</v>
      </c>
      <c r="AB105" s="29">
        <f>IF([14]Заяц_беляк!$O$5=0,"",[14]Заяц_беляк!$O$5)</f>
        <v>7.9</v>
      </c>
      <c r="AC105" s="29">
        <f>IF(SUM(Z105:AB105)=0,"",SUM(Z105:AB105))</f>
        <v>165.20000000000002</v>
      </c>
      <c r="AD105" s="23">
        <f>160+(AC105-50)*0.8</f>
        <v>252.16000000000003</v>
      </c>
      <c r="AE105" s="23">
        <f t="shared" si="36"/>
        <v>198.12571428571431</v>
      </c>
      <c r="AF105" s="23">
        <f t="shared" si="37"/>
        <v>41.975786924939463</v>
      </c>
      <c r="AG105" s="23">
        <f t="shared" si="38"/>
        <v>12.058498789346247</v>
      </c>
      <c r="AH105" s="23">
        <f t="shared" si="39"/>
        <v>33.62133333333334</v>
      </c>
      <c r="AI105" s="23">
        <f t="shared" si="40"/>
        <v>16.81066666666667</v>
      </c>
      <c r="AJ105" s="23">
        <f t="shared" si="41"/>
        <v>50.432000000000002</v>
      </c>
      <c r="AK105" s="30"/>
      <c r="AL105" s="30"/>
      <c r="AM105" s="30"/>
      <c r="AN105" s="30"/>
      <c r="AO105" s="30"/>
      <c r="AP105" s="24"/>
      <c r="AQ105" s="24"/>
      <c r="AR105" s="30">
        <v>129.80699999999999</v>
      </c>
      <c r="AS105" s="30"/>
      <c r="AT105" s="30"/>
      <c r="AU105" s="30"/>
      <c r="AV105" s="30"/>
    </row>
    <row r="106" spans="1:48" s="42" customFormat="1" x14ac:dyDescent="0.3">
      <c r="A106" s="31"/>
      <c r="B106" s="31"/>
      <c r="C106" s="32" t="s">
        <v>52</v>
      </c>
      <c r="D106" s="33"/>
      <c r="E106" s="34"/>
      <c r="F106" s="35"/>
      <c r="G106" s="36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3"/>
      <c r="U106" s="45">
        <f t="shared" ref="U106:AC106" si="56">SUM(U104:U105)</f>
        <v>365.63300000000004</v>
      </c>
      <c r="V106" s="45">
        <f t="shared" si="56"/>
        <v>129.80699999999999</v>
      </c>
      <c r="W106" s="45">
        <f t="shared" si="56"/>
        <v>35.426000000000002</v>
      </c>
      <c r="X106" s="45">
        <f t="shared" si="56"/>
        <v>0</v>
      </c>
      <c r="Y106" s="38">
        <f t="shared" si="56"/>
        <v>365.6</v>
      </c>
      <c r="Z106" s="39">
        <f t="shared" si="56"/>
        <v>330.20000000000005</v>
      </c>
      <c r="AA106" s="39">
        <f t="shared" si="56"/>
        <v>27.5</v>
      </c>
      <c r="AB106" s="39">
        <f t="shared" si="56"/>
        <v>7.9</v>
      </c>
      <c r="AC106" s="39">
        <f t="shared" si="56"/>
        <v>365.6</v>
      </c>
      <c r="AD106" s="40">
        <f t="shared" ref="AD106:AD107" si="57">280+(AC106-200)*0.1</f>
        <v>296.56</v>
      </c>
      <c r="AE106" s="40">
        <f t="shared" si="36"/>
        <v>267.84494529540484</v>
      </c>
      <c r="AF106" s="40">
        <f t="shared" si="37"/>
        <v>22.306892778993433</v>
      </c>
      <c r="AG106" s="40">
        <f t="shared" si="38"/>
        <v>6.4081619256017506</v>
      </c>
      <c r="AH106" s="40">
        <f t="shared" si="39"/>
        <v>39.541333333333334</v>
      </c>
      <c r="AI106" s="40">
        <f t="shared" si="40"/>
        <v>19.770666666666667</v>
      </c>
      <c r="AJ106" s="40">
        <f t="shared" si="41"/>
        <v>59.311999999999998</v>
      </c>
      <c r="AK106" s="41"/>
      <c r="AL106" s="41"/>
      <c r="AM106" s="41"/>
      <c r="AN106" s="41"/>
      <c r="AO106" s="41"/>
      <c r="AP106" s="41"/>
      <c r="AQ106" s="41"/>
      <c r="AR106" s="41">
        <v>224.99699999999999</v>
      </c>
      <c r="AS106" s="41"/>
      <c r="AT106" s="41"/>
      <c r="AU106" s="41"/>
      <c r="AV106" s="41"/>
    </row>
    <row r="107" spans="1:48" s="25" customFormat="1" ht="19.5" customHeight="1" x14ac:dyDescent="0.3">
      <c r="A107" s="15">
        <v>16</v>
      </c>
      <c r="B107" s="15" t="s">
        <v>245</v>
      </c>
      <c r="C107" s="16" t="s">
        <v>43</v>
      </c>
      <c r="D107" s="19"/>
      <c r="E107" s="17"/>
      <c r="F107" s="18"/>
      <c r="G107" s="17"/>
      <c r="H107" s="18"/>
      <c r="I107" s="18"/>
      <c r="J107" s="18"/>
      <c r="K107" s="18"/>
      <c r="L107" s="18"/>
      <c r="M107" s="43"/>
      <c r="N107" s="18"/>
      <c r="O107" s="18"/>
      <c r="P107" s="18"/>
      <c r="Q107" s="18"/>
      <c r="R107" s="18"/>
      <c r="S107" s="18"/>
      <c r="T107" s="19"/>
      <c r="U107" s="20">
        <v>695.4</v>
      </c>
      <c r="V107" s="20"/>
      <c r="W107" s="20"/>
      <c r="X107" s="20"/>
      <c r="Y107" s="21">
        <v>963.7</v>
      </c>
      <c r="Z107" s="22">
        <v>613</v>
      </c>
      <c r="AA107" s="22">
        <f>IF([15]Заяц_беляк!$N$5=0,"",[15]Заяц_беляк!$N$5)</f>
        <v>69.900000000000006</v>
      </c>
      <c r="AB107" s="22">
        <f>IF([15]Заяц_беляк!$O$5=0,"",[15]Заяц_беляк!$O$5)</f>
        <v>12.5</v>
      </c>
      <c r="AC107" s="22">
        <f>IF(SUM(Z107:AB107)=0,"",SUM(Z107:AB107))</f>
        <v>695.4</v>
      </c>
      <c r="AD107" s="23">
        <f t="shared" si="57"/>
        <v>329.54</v>
      </c>
      <c r="AE107" s="23">
        <f t="shared" si="36"/>
        <v>290.49183203911423</v>
      </c>
      <c r="AF107" s="23">
        <f t="shared" si="37"/>
        <v>33.12459879206213</v>
      </c>
      <c r="AG107" s="23">
        <f t="shared" si="38"/>
        <v>5.9235691688236987</v>
      </c>
      <c r="AH107" s="23">
        <f t="shared" si="39"/>
        <v>43.93866666666667</v>
      </c>
      <c r="AI107" s="23">
        <f t="shared" si="40"/>
        <v>21.969333333333335</v>
      </c>
      <c r="AJ107" s="23">
        <f t="shared" si="41"/>
        <v>65.908000000000001</v>
      </c>
      <c r="AK107" s="24"/>
      <c r="AL107" s="24"/>
      <c r="AM107" s="24"/>
      <c r="AN107" s="24"/>
      <c r="AO107" s="24"/>
      <c r="AP107" s="44"/>
      <c r="AQ107" s="24"/>
      <c r="AR107" s="24">
        <v>341.3</v>
      </c>
      <c r="AS107" s="24"/>
      <c r="AT107" s="24"/>
      <c r="AU107" s="24"/>
      <c r="AV107" s="24"/>
    </row>
    <row r="108" spans="1:48" s="25" customFormat="1" ht="42" customHeight="1" x14ac:dyDescent="0.3">
      <c r="A108" s="26">
        <v>99</v>
      </c>
      <c r="B108" s="26"/>
      <c r="C108" s="16" t="s">
        <v>246</v>
      </c>
      <c r="D108" s="19" t="s">
        <v>247</v>
      </c>
      <c r="E108" s="17">
        <v>40743</v>
      </c>
      <c r="F108" s="18">
        <v>18</v>
      </c>
      <c r="G108" s="17"/>
      <c r="H108" s="28">
        <v>1</v>
      </c>
      <c r="I108" s="28">
        <v>1</v>
      </c>
      <c r="J108" s="28">
        <v>1</v>
      </c>
      <c r="K108" s="28">
        <v>1</v>
      </c>
      <c r="L108" s="18" t="s">
        <v>45</v>
      </c>
      <c r="M108" s="43" t="s">
        <v>45</v>
      </c>
      <c r="N108" s="18" t="s">
        <v>45</v>
      </c>
      <c r="O108" s="28">
        <v>1</v>
      </c>
      <c r="P108" s="28">
        <v>1</v>
      </c>
      <c r="Q108" s="28">
        <v>1</v>
      </c>
      <c r="R108" s="18" t="s">
        <v>45</v>
      </c>
      <c r="S108" s="28">
        <v>1</v>
      </c>
      <c r="T108" s="19" t="s">
        <v>156</v>
      </c>
      <c r="U108" s="20">
        <f t="shared" si="48"/>
        <v>27.239000000000001</v>
      </c>
      <c r="V108" s="20">
        <v>27.239000000000001</v>
      </c>
      <c r="W108" s="20"/>
      <c r="X108" s="20"/>
      <c r="Y108" s="21">
        <v>27.239000000000001</v>
      </c>
      <c r="Z108" s="29">
        <f>IF([16]Заяц_беляк!$M$5=0,"",[16]Заяц_беляк!$M$5)</f>
        <v>27.2</v>
      </c>
      <c r="AA108" s="29">
        <v>0</v>
      </c>
      <c r="AB108" s="29">
        <v>0</v>
      </c>
      <c r="AC108" s="29">
        <f>IF(SUM(Z108:AB108)=0,"",SUM(Z108:AB108))</f>
        <v>27.2</v>
      </c>
      <c r="AD108" s="23">
        <f>100+(AC108-20)*2</f>
        <v>114.4</v>
      </c>
      <c r="AE108" s="23">
        <f t="shared" si="36"/>
        <v>114.40000000000002</v>
      </c>
      <c r="AF108" s="23">
        <f t="shared" si="37"/>
        <v>0</v>
      </c>
      <c r="AG108" s="23">
        <f t="shared" si="38"/>
        <v>0</v>
      </c>
      <c r="AH108" s="23">
        <f t="shared" si="39"/>
        <v>15.253333333333334</v>
      </c>
      <c r="AI108" s="23">
        <f t="shared" si="40"/>
        <v>7.6266666666666669</v>
      </c>
      <c r="AJ108" s="23">
        <f t="shared" si="41"/>
        <v>22.880000000000003</v>
      </c>
      <c r="AK108" s="30"/>
      <c r="AL108" s="30"/>
      <c r="AM108" s="30"/>
      <c r="AN108" s="30"/>
      <c r="AO108" s="24"/>
      <c r="AP108" s="44"/>
      <c r="AQ108" s="24"/>
      <c r="AR108" s="30">
        <v>27.239000000000001</v>
      </c>
      <c r="AS108" s="30"/>
      <c r="AT108" s="30"/>
      <c r="AU108" s="24"/>
      <c r="AV108" s="30"/>
    </row>
    <row r="109" spans="1:48" s="25" customFormat="1" ht="36.75" customHeight="1" collapsed="1" x14ac:dyDescent="0.3">
      <c r="A109" s="26">
        <v>100</v>
      </c>
      <c r="B109" s="26"/>
      <c r="C109" s="16" t="s">
        <v>248</v>
      </c>
      <c r="D109" s="19" t="s">
        <v>249</v>
      </c>
      <c r="E109" s="17">
        <v>41869</v>
      </c>
      <c r="F109" s="18">
        <v>110</v>
      </c>
      <c r="G109" s="17"/>
      <c r="H109" s="28">
        <v>1</v>
      </c>
      <c r="I109" s="28">
        <v>1</v>
      </c>
      <c r="J109" s="28">
        <v>1</v>
      </c>
      <c r="K109" s="28">
        <v>1</v>
      </c>
      <c r="L109" s="28">
        <v>1</v>
      </c>
      <c r="M109" s="43" t="s">
        <v>45</v>
      </c>
      <c r="N109" s="18" t="s">
        <v>45</v>
      </c>
      <c r="O109" s="28">
        <v>1</v>
      </c>
      <c r="P109" s="18" t="s">
        <v>45</v>
      </c>
      <c r="Q109" s="28">
        <v>1</v>
      </c>
      <c r="R109" s="18" t="s">
        <v>45</v>
      </c>
      <c r="S109" s="18" t="s">
        <v>45</v>
      </c>
      <c r="T109" s="19" t="s">
        <v>250</v>
      </c>
      <c r="U109" s="20">
        <f t="shared" si="48"/>
        <v>241.089</v>
      </c>
      <c r="V109" s="20">
        <v>217.874</v>
      </c>
      <c r="W109" s="20">
        <v>0</v>
      </c>
      <c r="X109" s="20">
        <v>23.215</v>
      </c>
      <c r="Y109" s="21"/>
      <c r="Z109" s="22">
        <f>U109-AA109-AB109</f>
        <v>224.98899999999998</v>
      </c>
      <c r="AA109" s="22">
        <f>IF([17]Заяц_беляк!$N$5=0,"",[17]Заяц_беляк!$N$5)</f>
        <v>9.8000000000000007</v>
      </c>
      <c r="AB109" s="22">
        <f>IF([17]Заяц_беляк!$O$5=0,"",[17]Заяц_беляк!$O$5)</f>
        <v>6.3</v>
      </c>
      <c r="AC109" s="22">
        <f>IF(SUM(Z109:AB109)=0,"",SUM(Z109:AB109))</f>
        <v>241.089</v>
      </c>
      <c r="AD109" s="23">
        <f t="shared" ref="AD109:AD110" si="58">280+(AC109-200)*0.1</f>
        <v>284.10890000000001</v>
      </c>
      <c r="AE109" s="23">
        <f t="shared" si="36"/>
        <v>265.1360174130715</v>
      </c>
      <c r="AF109" s="23">
        <f t="shared" si="37"/>
        <v>11.548711139869509</v>
      </c>
      <c r="AG109" s="23">
        <f t="shared" si="38"/>
        <v>7.4241714470589697</v>
      </c>
      <c r="AH109" s="23">
        <f t="shared" si="39"/>
        <v>37.881186666666665</v>
      </c>
      <c r="AI109" s="23">
        <f t="shared" si="40"/>
        <v>18.940593333333332</v>
      </c>
      <c r="AJ109" s="23">
        <f t="shared" si="41"/>
        <v>56.821780000000004</v>
      </c>
      <c r="AK109" s="30"/>
      <c r="AL109" s="30"/>
      <c r="AM109" s="30"/>
      <c r="AN109" s="30"/>
      <c r="AO109" s="30"/>
      <c r="AP109" s="44"/>
      <c r="AQ109" s="24"/>
      <c r="AR109" s="30">
        <v>241.089</v>
      </c>
      <c r="AS109" s="24"/>
      <c r="AT109" s="30"/>
      <c r="AU109" s="24"/>
      <c r="AV109" s="24"/>
    </row>
    <row r="110" spans="1:48" s="42" customFormat="1" x14ac:dyDescent="0.3">
      <c r="A110" s="31"/>
      <c r="B110" s="31"/>
      <c r="C110" s="32" t="s">
        <v>52</v>
      </c>
      <c r="D110" s="33"/>
      <c r="E110" s="34"/>
      <c r="F110" s="35"/>
      <c r="G110" s="36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3"/>
      <c r="U110" s="74">
        <f>SUM(U107:U109)</f>
        <v>963.72800000000007</v>
      </c>
      <c r="V110" s="74">
        <f t="shared" ref="V110:AC110" si="59">SUM(V107:V109)</f>
        <v>245.113</v>
      </c>
      <c r="W110" s="74">
        <f t="shared" si="59"/>
        <v>0</v>
      </c>
      <c r="X110" s="74">
        <f t="shared" si="59"/>
        <v>23.215</v>
      </c>
      <c r="Y110" s="74">
        <f t="shared" si="59"/>
        <v>990.93900000000008</v>
      </c>
      <c r="Z110" s="75">
        <f t="shared" si="59"/>
        <v>865.18900000000008</v>
      </c>
      <c r="AA110" s="75">
        <f t="shared" si="59"/>
        <v>79.7</v>
      </c>
      <c r="AB110" s="75">
        <f t="shared" si="59"/>
        <v>18.8</v>
      </c>
      <c r="AC110" s="75">
        <f t="shared" si="59"/>
        <v>963.68900000000008</v>
      </c>
      <c r="AD110" s="40">
        <f t="shared" si="58"/>
        <v>356.3689</v>
      </c>
      <c r="AE110" s="40">
        <f t="shared" si="36"/>
        <v>319.94393650036477</v>
      </c>
      <c r="AF110" s="40">
        <f t="shared" si="37"/>
        <v>29.472787725085581</v>
      </c>
      <c r="AG110" s="40">
        <f t="shared" si="38"/>
        <v>6.9521757745496719</v>
      </c>
      <c r="AH110" s="40">
        <f t="shared" si="39"/>
        <v>47.515853333333332</v>
      </c>
      <c r="AI110" s="40">
        <f t="shared" si="40"/>
        <v>23.757926666666666</v>
      </c>
      <c r="AJ110" s="40">
        <f t="shared" si="41"/>
        <v>71.273780000000002</v>
      </c>
      <c r="AK110" s="41"/>
      <c r="AL110" s="41"/>
      <c r="AM110" s="41"/>
      <c r="AN110" s="41"/>
      <c r="AO110" s="41"/>
      <c r="AP110" s="41"/>
      <c r="AQ110" s="41"/>
      <c r="AR110" s="41">
        <v>609.62799999999993</v>
      </c>
      <c r="AS110" s="41"/>
      <c r="AT110" s="41"/>
      <c r="AU110" s="41"/>
      <c r="AV110" s="41"/>
    </row>
    <row r="111" spans="1:48" s="25" customFormat="1" ht="19.5" customHeight="1" x14ac:dyDescent="0.3">
      <c r="A111" s="15">
        <v>17</v>
      </c>
      <c r="B111" s="15" t="s">
        <v>251</v>
      </c>
      <c r="C111" s="16" t="s">
        <v>43</v>
      </c>
      <c r="D111" s="19"/>
      <c r="E111" s="17"/>
      <c r="F111" s="18"/>
      <c r="G111" s="17"/>
      <c r="H111" s="18"/>
      <c r="I111" s="18"/>
      <c r="J111" s="43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20">
        <v>74.433000000000007</v>
      </c>
      <c r="V111" s="20"/>
      <c r="W111" s="20"/>
      <c r="X111" s="20"/>
      <c r="Y111" s="21">
        <v>558</v>
      </c>
      <c r="Z111" s="22">
        <v>62.43</v>
      </c>
      <c r="AA111" s="22">
        <v>12</v>
      </c>
      <c r="AB111" s="22">
        <v>0</v>
      </c>
      <c r="AC111" s="22">
        <f t="shared" ref="AC111:AC117" si="60">IF(SUM(Z111:AB111)=0,"",SUM(Z111:AB111))</f>
        <v>74.430000000000007</v>
      </c>
      <c r="AD111" s="23">
        <f>160+(AC111-50)*0.8</f>
        <v>179.54400000000001</v>
      </c>
      <c r="AE111" s="23">
        <f t="shared" si="36"/>
        <v>150.59696251511488</v>
      </c>
      <c r="AF111" s="23">
        <f t="shared" si="37"/>
        <v>28.947037484885129</v>
      </c>
      <c r="AG111" s="23">
        <f t="shared" si="38"/>
        <v>0</v>
      </c>
      <c r="AH111" s="23">
        <f t="shared" si="39"/>
        <v>23.9392</v>
      </c>
      <c r="AI111" s="23">
        <f t="shared" si="40"/>
        <v>11.969600000000002</v>
      </c>
      <c r="AJ111" s="23">
        <f t="shared" si="41"/>
        <v>35.908799999999999</v>
      </c>
      <c r="AK111" s="24"/>
      <c r="AL111" s="24"/>
      <c r="AM111" s="44"/>
      <c r="AN111" s="24"/>
      <c r="AO111" s="24"/>
      <c r="AP111" s="24"/>
      <c r="AQ111" s="24"/>
      <c r="AR111" s="24">
        <v>74.430000000000007</v>
      </c>
      <c r="AS111" s="24"/>
      <c r="AT111" s="24"/>
      <c r="AU111" s="24"/>
      <c r="AV111" s="24"/>
    </row>
    <row r="112" spans="1:48" s="25" customFormat="1" ht="36" customHeight="1" x14ac:dyDescent="0.3">
      <c r="A112" s="26">
        <v>105</v>
      </c>
      <c r="B112" s="26"/>
      <c r="C112" s="16" t="s">
        <v>252</v>
      </c>
      <c r="D112" s="19"/>
      <c r="E112" s="17">
        <v>40849</v>
      </c>
      <c r="F112" s="18">
        <v>24</v>
      </c>
      <c r="G112" s="17"/>
      <c r="H112" s="28">
        <v>1</v>
      </c>
      <c r="I112" s="18" t="s">
        <v>45</v>
      </c>
      <c r="J112" s="28">
        <v>1</v>
      </c>
      <c r="K112" s="18" t="s">
        <v>45</v>
      </c>
      <c r="L112" s="18" t="s">
        <v>45</v>
      </c>
      <c r="M112" s="18" t="s">
        <v>45</v>
      </c>
      <c r="N112" s="18" t="s">
        <v>45</v>
      </c>
      <c r="O112" s="28">
        <v>1</v>
      </c>
      <c r="P112" s="18" t="s">
        <v>45</v>
      </c>
      <c r="Q112" s="28">
        <v>1</v>
      </c>
      <c r="R112" s="28">
        <v>1</v>
      </c>
      <c r="S112" s="18" t="s">
        <v>45</v>
      </c>
      <c r="T112" s="19" t="s">
        <v>253</v>
      </c>
      <c r="U112" s="20">
        <f t="shared" si="48"/>
        <v>30.850999999999999</v>
      </c>
      <c r="V112" s="20">
        <v>30.850999999999999</v>
      </c>
      <c r="W112" s="20"/>
      <c r="X112" s="20"/>
      <c r="Y112" s="21"/>
      <c r="Z112" s="29">
        <v>30.850999999999999</v>
      </c>
      <c r="AA112" s="29">
        <v>0</v>
      </c>
      <c r="AB112" s="29">
        <v>0</v>
      </c>
      <c r="AC112" s="29">
        <f t="shared" si="60"/>
        <v>30.850999999999999</v>
      </c>
      <c r="AD112" s="23">
        <f>100+(AC112-20)*2</f>
        <v>121.702</v>
      </c>
      <c r="AE112" s="23">
        <f t="shared" si="36"/>
        <v>121.702</v>
      </c>
      <c r="AF112" s="23">
        <f t="shared" si="37"/>
        <v>0</v>
      </c>
      <c r="AG112" s="23">
        <f t="shared" si="38"/>
        <v>0</v>
      </c>
      <c r="AH112" s="23">
        <f t="shared" si="39"/>
        <v>16.226933333333331</v>
      </c>
      <c r="AI112" s="23">
        <f t="shared" si="40"/>
        <v>8.1134666666666657</v>
      </c>
      <c r="AJ112" s="23">
        <f t="shared" si="41"/>
        <v>24.340399999999999</v>
      </c>
      <c r="AK112" s="30"/>
      <c r="AL112" s="24"/>
      <c r="AM112" s="30"/>
      <c r="AN112" s="24"/>
      <c r="AO112" s="24"/>
      <c r="AP112" s="24"/>
      <c r="AQ112" s="24"/>
      <c r="AR112" s="30">
        <v>30.850999999999999</v>
      </c>
      <c r="AS112" s="24"/>
      <c r="AT112" s="30"/>
      <c r="AU112" s="30"/>
      <c r="AV112" s="24"/>
    </row>
    <row r="113" spans="1:48" s="25" customFormat="1" ht="38.25" customHeight="1" x14ac:dyDescent="0.3">
      <c r="A113" s="26">
        <v>106</v>
      </c>
      <c r="B113" s="26"/>
      <c r="C113" s="16" t="s">
        <v>254</v>
      </c>
      <c r="D113" s="19"/>
      <c r="E113" s="17">
        <v>41026</v>
      </c>
      <c r="F113" s="18">
        <v>42</v>
      </c>
      <c r="G113" s="17"/>
      <c r="H113" s="28">
        <v>1</v>
      </c>
      <c r="I113" s="18" t="s">
        <v>45</v>
      </c>
      <c r="J113" s="28">
        <v>1</v>
      </c>
      <c r="K113" s="18" t="s">
        <v>45</v>
      </c>
      <c r="L113" s="18" t="s">
        <v>45</v>
      </c>
      <c r="M113" s="18" t="s">
        <v>45</v>
      </c>
      <c r="N113" s="18" t="s">
        <v>45</v>
      </c>
      <c r="O113" s="28">
        <v>1</v>
      </c>
      <c r="P113" s="28">
        <v>1</v>
      </c>
      <c r="Q113" s="28">
        <v>1</v>
      </c>
      <c r="R113" s="28">
        <v>1</v>
      </c>
      <c r="S113" s="18" t="s">
        <v>45</v>
      </c>
      <c r="T113" s="19" t="s">
        <v>165</v>
      </c>
      <c r="U113" s="20">
        <f t="shared" si="48"/>
        <v>70.534000000000006</v>
      </c>
      <c r="V113" s="20">
        <v>70.534000000000006</v>
      </c>
      <c r="W113" s="20"/>
      <c r="X113" s="20"/>
      <c r="Y113" s="21"/>
      <c r="Z113" s="29">
        <v>70.5</v>
      </c>
      <c r="AA113" s="29">
        <v>0</v>
      </c>
      <c r="AB113" s="29">
        <v>0</v>
      </c>
      <c r="AC113" s="29">
        <f t="shared" si="60"/>
        <v>70.5</v>
      </c>
      <c r="AD113" s="23">
        <f>160+(AC113-50)*0.8</f>
        <v>176.4</v>
      </c>
      <c r="AE113" s="23">
        <f t="shared" si="36"/>
        <v>176.4</v>
      </c>
      <c r="AF113" s="23">
        <f t="shared" si="37"/>
        <v>0</v>
      </c>
      <c r="AG113" s="23">
        <f t="shared" si="38"/>
        <v>0</v>
      </c>
      <c r="AH113" s="23">
        <f t="shared" si="39"/>
        <v>23.52</v>
      </c>
      <c r="AI113" s="23">
        <f t="shared" si="40"/>
        <v>11.76</v>
      </c>
      <c r="AJ113" s="23">
        <f t="shared" si="41"/>
        <v>35.28</v>
      </c>
      <c r="AK113" s="30"/>
      <c r="AL113" s="24"/>
      <c r="AM113" s="30"/>
      <c r="AN113" s="24"/>
      <c r="AO113" s="24"/>
      <c r="AP113" s="24"/>
      <c r="AQ113" s="24"/>
      <c r="AR113" s="30">
        <v>70.191000000000003</v>
      </c>
      <c r="AS113" s="30"/>
      <c r="AT113" s="30"/>
      <c r="AU113" s="30"/>
      <c r="AV113" s="24"/>
    </row>
    <row r="114" spans="1:48" s="25" customFormat="1" ht="38.25" customHeight="1" x14ac:dyDescent="0.3">
      <c r="A114" s="26"/>
      <c r="B114" s="26"/>
      <c r="C114" s="16" t="s">
        <v>255</v>
      </c>
      <c r="D114" s="19"/>
      <c r="E114" s="17">
        <v>40988</v>
      </c>
      <c r="F114" s="18">
        <v>40</v>
      </c>
      <c r="G114" s="17"/>
      <c r="H114" s="28">
        <v>1</v>
      </c>
      <c r="I114" s="18" t="s">
        <v>45</v>
      </c>
      <c r="J114" s="28">
        <v>1</v>
      </c>
      <c r="K114" s="18" t="s">
        <v>45</v>
      </c>
      <c r="L114" s="18" t="s">
        <v>45</v>
      </c>
      <c r="M114" s="18" t="s">
        <v>45</v>
      </c>
      <c r="N114" s="18" t="s">
        <v>45</v>
      </c>
      <c r="O114" s="28">
        <v>1</v>
      </c>
      <c r="P114" s="18" t="s">
        <v>45</v>
      </c>
      <c r="Q114" s="28">
        <v>1</v>
      </c>
      <c r="R114" s="18" t="s">
        <v>45</v>
      </c>
      <c r="S114" s="18" t="s">
        <v>45</v>
      </c>
      <c r="T114" s="19" t="s">
        <v>256</v>
      </c>
      <c r="U114" s="20">
        <f t="shared" si="48"/>
        <v>4.875</v>
      </c>
      <c r="V114" s="20">
        <v>4.875</v>
      </c>
      <c r="W114" s="20"/>
      <c r="X114" s="20"/>
      <c r="Y114" s="21" t="s">
        <v>257</v>
      </c>
      <c r="Z114" s="29">
        <v>4.875</v>
      </c>
      <c r="AA114" s="29">
        <v>0</v>
      </c>
      <c r="AB114" s="29">
        <v>0</v>
      </c>
      <c r="AC114" s="29">
        <f t="shared" si="60"/>
        <v>4.875</v>
      </c>
      <c r="AD114" s="23"/>
      <c r="AE114" s="23"/>
      <c r="AF114" s="23"/>
      <c r="AG114" s="23"/>
      <c r="AH114" s="23"/>
      <c r="AI114" s="23"/>
      <c r="AJ114" s="23"/>
      <c r="AK114" s="30"/>
      <c r="AL114" s="24"/>
      <c r="AM114" s="30"/>
      <c r="AN114" s="24"/>
      <c r="AO114" s="24"/>
      <c r="AP114" s="24"/>
      <c r="AQ114" s="24"/>
      <c r="AR114" s="30">
        <v>4.875</v>
      </c>
      <c r="AS114" s="24"/>
      <c r="AT114" s="30"/>
      <c r="AU114" s="24"/>
      <c r="AV114" s="24"/>
    </row>
    <row r="115" spans="1:48" s="25" customFormat="1" ht="56.25" customHeight="1" x14ac:dyDescent="0.3">
      <c r="A115" s="26">
        <v>107</v>
      </c>
      <c r="B115" s="26"/>
      <c r="C115" s="16" t="s">
        <v>85</v>
      </c>
      <c r="D115" s="19" t="s">
        <v>122</v>
      </c>
      <c r="E115" s="17"/>
      <c r="F115" s="18"/>
      <c r="G115" s="17" t="s">
        <v>258</v>
      </c>
      <c r="H115" s="28">
        <v>1</v>
      </c>
      <c r="I115" s="18" t="s">
        <v>45</v>
      </c>
      <c r="J115" s="28">
        <v>1</v>
      </c>
      <c r="K115" s="18" t="s">
        <v>45</v>
      </c>
      <c r="L115" s="18" t="s">
        <v>45</v>
      </c>
      <c r="M115" s="18" t="s">
        <v>45</v>
      </c>
      <c r="N115" s="18" t="s">
        <v>45</v>
      </c>
      <c r="O115" s="28">
        <v>1</v>
      </c>
      <c r="P115" s="28">
        <v>1</v>
      </c>
      <c r="Q115" s="28">
        <v>1</v>
      </c>
      <c r="R115" s="28">
        <v>1</v>
      </c>
      <c r="S115" s="28">
        <v>1</v>
      </c>
      <c r="T115" s="19" t="s">
        <v>172</v>
      </c>
      <c r="U115" s="20">
        <v>266.3</v>
      </c>
      <c r="V115" s="20" t="s">
        <v>73</v>
      </c>
      <c r="W115" s="20" t="s">
        <v>73</v>
      </c>
      <c r="X115" s="20"/>
      <c r="Y115" s="21"/>
      <c r="Z115" s="29">
        <v>229</v>
      </c>
      <c r="AA115" s="29">
        <v>32.299999999999997</v>
      </c>
      <c r="AB115" s="29">
        <v>5</v>
      </c>
      <c r="AC115" s="29">
        <f t="shared" si="60"/>
        <v>266.3</v>
      </c>
      <c r="AD115" s="23">
        <f>280+(AC115-200)*0.1</f>
        <v>286.63</v>
      </c>
      <c r="AE115" s="23">
        <f t="shared" si="36"/>
        <v>246.48242583552386</v>
      </c>
      <c r="AF115" s="23">
        <f t="shared" si="37"/>
        <v>34.765861809988728</v>
      </c>
      <c r="AG115" s="23">
        <f t="shared" si="38"/>
        <v>5.3817123544874201</v>
      </c>
      <c r="AH115" s="23">
        <f t="shared" si="39"/>
        <v>38.217333333333336</v>
      </c>
      <c r="AI115" s="23">
        <f t="shared" si="40"/>
        <v>19.108666666666668</v>
      </c>
      <c r="AJ115" s="23">
        <f t="shared" si="41"/>
        <v>57.326000000000001</v>
      </c>
      <c r="AK115" s="30"/>
      <c r="AL115" s="24"/>
      <c r="AM115" s="30"/>
      <c r="AN115" s="24"/>
      <c r="AO115" s="24"/>
      <c r="AP115" s="24"/>
      <c r="AQ115" s="24"/>
      <c r="AR115" s="30">
        <v>230</v>
      </c>
      <c r="AS115" s="30"/>
      <c r="AT115" s="30"/>
      <c r="AU115" s="30"/>
      <c r="AV115" s="30"/>
    </row>
    <row r="116" spans="1:48" s="25" customFormat="1" ht="39" customHeight="1" x14ac:dyDescent="0.3">
      <c r="A116" s="26">
        <v>108</v>
      </c>
      <c r="B116" s="26"/>
      <c r="C116" s="16" t="s">
        <v>259</v>
      </c>
      <c r="D116" s="19" t="s">
        <v>260</v>
      </c>
      <c r="E116" s="17" t="s">
        <v>261</v>
      </c>
      <c r="F116" s="18" t="s">
        <v>262</v>
      </c>
      <c r="G116" s="17"/>
      <c r="H116" s="28">
        <v>1</v>
      </c>
      <c r="I116" s="18" t="s">
        <v>45</v>
      </c>
      <c r="J116" s="43">
        <v>1</v>
      </c>
      <c r="K116" s="18" t="s">
        <v>45</v>
      </c>
      <c r="L116" s="18" t="s">
        <v>45</v>
      </c>
      <c r="M116" s="18" t="s">
        <v>45</v>
      </c>
      <c r="N116" s="18" t="s">
        <v>45</v>
      </c>
      <c r="O116" s="28">
        <v>1</v>
      </c>
      <c r="P116" s="28">
        <v>1</v>
      </c>
      <c r="Q116" s="28">
        <v>1</v>
      </c>
      <c r="R116" s="28">
        <v>1</v>
      </c>
      <c r="S116" s="28">
        <v>1</v>
      </c>
      <c r="T116" s="19" t="s">
        <v>172</v>
      </c>
      <c r="U116" s="20">
        <f t="shared" si="48"/>
        <v>56.82</v>
      </c>
      <c r="V116" s="20">
        <v>43.932000000000002</v>
      </c>
      <c r="W116" s="20">
        <v>0</v>
      </c>
      <c r="X116" s="20">
        <v>12.888</v>
      </c>
      <c r="Y116" s="21"/>
      <c r="Z116" s="29">
        <v>44.1</v>
      </c>
      <c r="AA116" s="29">
        <v>7.8</v>
      </c>
      <c r="AB116" s="29">
        <v>4.9000000000000004</v>
      </c>
      <c r="AC116" s="29">
        <f t="shared" si="60"/>
        <v>56.8</v>
      </c>
      <c r="AD116" s="23">
        <f t="shared" ref="AD116:AD117" si="61">160+(AC116-50)*0.8</f>
        <v>165.44</v>
      </c>
      <c r="AE116" s="23">
        <f t="shared" si="36"/>
        <v>128.44901408450707</v>
      </c>
      <c r="AF116" s="23">
        <f t="shared" si="37"/>
        <v>22.718873239436622</v>
      </c>
      <c r="AG116" s="23">
        <f t="shared" si="38"/>
        <v>14.27211267605634</v>
      </c>
      <c r="AH116" s="23">
        <f t="shared" si="39"/>
        <v>22.058666666666667</v>
      </c>
      <c r="AI116" s="23">
        <f t="shared" si="40"/>
        <v>11.029333333333334</v>
      </c>
      <c r="AJ116" s="23">
        <f t="shared" si="41"/>
        <v>33.088000000000001</v>
      </c>
      <c r="AK116" s="30"/>
      <c r="AL116" s="24"/>
      <c r="AM116" s="44"/>
      <c r="AN116" s="24"/>
      <c r="AO116" s="24"/>
      <c r="AP116" s="24"/>
      <c r="AQ116" s="24"/>
      <c r="AR116" s="30">
        <v>36.933</v>
      </c>
      <c r="AS116" s="30"/>
      <c r="AT116" s="30"/>
      <c r="AU116" s="30"/>
      <c r="AV116" s="30"/>
    </row>
    <row r="117" spans="1:48" s="25" customFormat="1" ht="56.25" customHeight="1" x14ac:dyDescent="0.3">
      <c r="A117" s="26">
        <v>109</v>
      </c>
      <c r="B117" s="26"/>
      <c r="C117" s="16" t="s">
        <v>263</v>
      </c>
      <c r="D117" s="19" t="s">
        <v>264</v>
      </c>
      <c r="E117" s="17">
        <v>41267</v>
      </c>
      <c r="F117" s="18">
        <v>54</v>
      </c>
      <c r="G117" s="17"/>
      <c r="H117" s="28">
        <v>1</v>
      </c>
      <c r="I117" s="18" t="s">
        <v>45</v>
      </c>
      <c r="J117" s="43">
        <v>1</v>
      </c>
      <c r="K117" s="18" t="s">
        <v>45</v>
      </c>
      <c r="L117" s="18" t="s">
        <v>45</v>
      </c>
      <c r="M117" s="18" t="s">
        <v>45</v>
      </c>
      <c r="N117" s="18" t="s">
        <v>45</v>
      </c>
      <c r="O117" s="28">
        <v>1</v>
      </c>
      <c r="P117" s="28">
        <v>1</v>
      </c>
      <c r="Q117" s="28">
        <v>1</v>
      </c>
      <c r="R117" s="28">
        <v>1</v>
      </c>
      <c r="S117" s="28">
        <v>1</v>
      </c>
      <c r="T117" s="19" t="s">
        <v>172</v>
      </c>
      <c r="U117" s="20">
        <f t="shared" si="48"/>
        <v>55.275999999999996</v>
      </c>
      <c r="V117" s="20">
        <v>33.372</v>
      </c>
      <c r="W117" s="20">
        <v>21.904</v>
      </c>
      <c r="X117" s="20"/>
      <c r="Y117" s="21"/>
      <c r="Z117" s="29">
        <v>33.372</v>
      </c>
      <c r="AA117" s="29">
        <v>21.8</v>
      </c>
      <c r="AB117" s="29">
        <v>0.1</v>
      </c>
      <c r="AC117" s="29">
        <f t="shared" si="60"/>
        <v>55.271999999999998</v>
      </c>
      <c r="AD117" s="23">
        <f t="shared" si="61"/>
        <v>164.2176</v>
      </c>
      <c r="AE117" s="23">
        <f t="shared" si="36"/>
        <v>99.150921754233607</v>
      </c>
      <c r="AF117" s="23">
        <f t="shared" si="37"/>
        <v>64.769570125922712</v>
      </c>
      <c r="AG117" s="23">
        <f t="shared" si="38"/>
        <v>0.29710811984368218</v>
      </c>
      <c r="AH117" s="23">
        <f t="shared" si="39"/>
        <v>21.895679999999999</v>
      </c>
      <c r="AI117" s="23">
        <f t="shared" si="40"/>
        <v>10.947840000000001</v>
      </c>
      <c r="AJ117" s="23">
        <f t="shared" si="41"/>
        <v>32.843519999999998</v>
      </c>
      <c r="AK117" s="30"/>
      <c r="AL117" s="24"/>
      <c r="AM117" s="44"/>
      <c r="AN117" s="24"/>
      <c r="AO117" s="24"/>
      <c r="AP117" s="24"/>
      <c r="AQ117" s="24"/>
      <c r="AR117" s="30">
        <v>27.7</v>
      </c>
      <c r="AS117" s="30"/>
      <c r="AT117" s="30"/>
      <c r="AU117" s="30"/>
      <c r="AV117" s="30"/>
    </row>
    <row r="118" spans="1:48" s="42" customFormat="1" x14ac:dyDescent="0.3">
      <c r="A118" s="31"/>
      <c r="B118" s="31"/>
      <c r="C118" s="32" t="s">
        <v>52</v>
      </c>
      <c r="D118" s="33"/>
      <c r="E118" s="34"/>
      <c r="F118" s="35"/>
      <c r="G118" s="36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3"/>
      <c r="U118" s="76">
        <f>SUM(U111:U117)</f>
        <v>559.08900000000006</v>
      </c>
      <c r="V118" s="76">
        <f t="shared" ref="V118:AC118" si="62">SUM(V111:V117)</f>
        <v>183.56400000000002</v>
      </c>
      <c r="W118" s="76">
        <f t="shared" si="62"/>
        <v>21.904</v>
      </c>
      <c r="X118" s="76">
        <f t="shared" si="62"/>
        <v>12.888</v>
      </c>
      <c r="Y118" s="77">
        <f t="shared" si="62"/>
        <v>558</v>
      </c>
      <c r="Z118" s="39">
        <f t="shared" si="62"/>
        <v>475.12800000000004</v>
      </c>
      <c r="AA118" s="39">
        <f t="shared" si="62"/>
        <v>73.899999999999991</v>
      </c>
      <c r="AB118" s="39">
        <f t="shared" si="62"/>
        <v>10</v>
      </c>
      <c r="AC118" s="39">
        <f t="shared" si="62"/>
        <v>559.02800000000002</v>
      </c>
      <c r="AD118" s="40">
        <f>280+(AC118-200)*0.1</f>
        <v>315.90280000000001</v>
      </c>
      <c r="AE118" s="40">
        <f t="shared" si="36"/>
        <v>268.49149874138686</v>
      </c>
      <c r="AF118" s="40">
        <f t="shared" si="37"/>
        <v>41.760371430411354</v>
      </c>
      <c r="AG118" s="40">
        <f t="shared" si="38"/>
        <v>5.6509298282018072</v>
      </c>
      <c r="AH118" s="40">
        <f t="shared" si="39"/>
        <v>42.120373333333333</v>
      </c>
      <c r="AI118" s="40">
        <f t="shared" si="40"/>
        <v>21.060186666666667</v>
      </c>
      <c r="AJ118" s="40">
        <f t="shared" si="41"/>
        <v>63.18056</v>
      </c>
      <c r="AK118" s="41"/>
      <c r="AL118" s="41"/>
      <c r="AM118" s="41"/>
      <c r="AN118" s="41"/>
      <c r="AO118" s="41"/>
      <c r="AP118" s="41"/>
      <c r="AQ118" s="41"/>
      <c r="AR118" s="41">
        <v>474.97999999999996</v>
      </c>
      <c r="AS118" s="41"/>
      <c r="AT118" s="41"/>
      <c r="AU118" s="41"/>
      <c r="AV118" s="41"/>
    </row>
    <row r="119" spans="1:48" s="25" customFormat="1" ht="20.25" customHeight="1" x14ac:dyDescent="0.3">
      <c r="A119" s="15">
        <v>18</v>
      </c>
      <c r="B119" s="15" t="s">
        <v>265</v>
      </c>
      <c r="C119" s="16" t="s">
        <v>43</v>
      </c>
      <c r="D119" s="19"/>
      <c r="E119" s="17"/>
      <c r="F119" s="18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20">
        <v>82.1</v>
      </c>
      <c r="V119" s="20"/>
      <c r="W119" s="20"/>
      <c r="X119" s="20"/>
      <c r="Y119" s="21">
        <v>408.5</v>
      </c>
      <c r="Z119" s="22">
        <v>82.1</v>
      </c>
      <c r="AA119" s="22">
        <v>0</v>
      </c>
      <c r="AB119" s="22">
        <v>0</v>
      </c>
      <c r="AC119" s="22">
        <f>SUM(Z119:AB119)</f>
        <v>82.1</v>
      </c>
      <c r="AD119" s="23">
        <f t="shared" ref="AD119:AD121" si="63">160+(AC119-50)*0.8</f>
        <v>185.68</v>
      </c>
      <c r="AE119" s="23">
        <f t="shared" si="36"/>
        <v>185.68</v>
      </c>
      <c r="AF119" s="23">
        <f t="shared" si="37"/>
        <v>0</v>
      </c>
      <c r="AG119" s="23">
        <f t="shared" si="38"/>
        <v>0</v>
      </c>
      <c r="AH119" s="23">
        <f t="shared" si="39"/>
        <v>24.757333333333335</v>
      </c>
      <c r="AI119" s="23">
        <f t="shared" si="40"/>
        <v>12.378666666666668</v>
      </c>
      <c r="AJ119" s="23">
        <f t="shared" si="41"/>
        <v>37.136000000000003</v>
      </c>
      <c r="AK119" s="24"/>
      <c r="AL119" s="24"/>
      <c r="AM119" s="24"/>
      <c r="AN119" s="24"/>
      <c r="AO119" s="24"/>
      <c r="AP119" s="24"/>
      <c r="AQ119" s="24"/>
      <c r="AR119" s="24">
        <v>0</v>
      </c>
      <c r="AS119" s="24"/>
      <c r="AT119" s="24"/>
      <c r="AU119" s="24"/>
      <c r="AV119" s="24"/>
    </row>
    <row r="120" spans="1:48" s="72" customFormat="1" ht="40.5" customHeight="1" x14ac:dyDescent="0.25">
      <c r="A120" s="26"/>
      <c r="B120" s="26"/>
      <c r="C120" s="70" t="s">
        <v>266</v>
      </c>
      <c r="D120" s="19" t="s">
        <v>267</v>
      </c>
      <c r="E120" s="71">
        <v>40668</v>
      </c>
      <c r="F120" s="18">
        <v>8</v>
      </c>
      <c r="G120" s="17"/>
      <c r="H120" s="28">
        <v>1</v>
      </c>
      <c r="I120" s="18" t="s">
        <v>45</v>
      </c>
      <c r="J120" s="28">
        <v>1</v>
      </c>
      <c r="K120" s="18" t="s">
        <v>45</v>
      </c>
      <c r="L120" s="18" t="s">
        <v>45</v>
      </c>
      <c r="M120" s="18" t="s">
        <v>45</v>
      </c>
      <c r="N120" s="18" t="s">
        <v>45</v>
      </c>
      <c r="O120" s="28">
        <v>1</v>
      </c>
      <c r="P120" s="28">
        <v>1</v>
      </c>
      <c r="Q120" s="28">
        <v>1</v>
      </c>
      <c r="R120" s="28">
        <v>1</v>
      </c>
      <c r="S120" s="18" t="s">
        <v>45</v>
      </c>
      <c r="T120" s="19" t="s">
        <v>268</v>
      </c>
      <c r="U120" s="20">
        <f t="shared" si="48"/>
        <v>165.07600000000002</v>
      </c>
      <c r="V120" s="20">
        <v>80.352000000000004</v>
      </c>
      <c r="W120" s="20">
        <v>84.724000000000004</v>
      </c>
      <c r="X120" s="20"/>
      <c r="Y120" s="21"/>
      <c r="Z120" s="50">
        <v>80.352000000000004</v>
      </c>
      <c r="AA120" s="50">
        <v>84.724000000000004</v>
      </c>
      <c r="AB120" s="50">
        <v>0</v>
      </c>
      <c r="AC120" s="50">
        <f>IF(SUM(Z120:AB120)=0,"",SUM(Z120:AB120))</f>
        <v>165.07600000000002</v>
      </c>
      <c r="AD120" s="23">
        <f t="shared" si="63"/>
        <v>252.06080000000003</v>
      </c>
      <c r="AE120" s="23">
        <f t="shared" si="36"/>
        <v>122.69251376093435</v>
      </c>
      <c r="AF120" s="23">
        <f t="shared" si="37"/>
        <v>129.36828623906567</v>
      </c>
      <c r="AG120" s="23">
        <f t="shared" si="38"/>
        <v>0</v>
      </c>
      <c r="AH120" s="23">
        <f t="shared" si="39"/>
        <v>33.608106666666671</v>
      </c>
      <c r="AI120" s="23">
        <f t="shared" si="40"/>
        <v>16.804053333333336</v>
      </c>
      <c r="AJ120" s="23">
        <f t="shared" si="41"/>
        <v>50.412160000000007</v>
      </c>
      <c r="AK120" s="30"/>
      <c r="AL120" s="24"/>
      <c r="AM120" s="30"/>
      <c r="AN120" s="24"/>
      <c r="AO120" s="24"/>
      <c r="AP120" s="24"/>
      <c r="AQ120" s="24"/>
      <c r="AR120" s="30">
        <v>58.7</v>
      </c>
      <c r="AS120" s="30"/>
      <c r="AT120" s="30"/>
      <c r="AU120" s="30"/>
      <c r="AV120" s="24"/>
    </row>
    <row r="121" spans="1:48" s="25" customFormat="1" ht="39.75" customHeight="1" x14ac:dyDescent="0.3">
      <c r="A121" s="26"/>
      <c r="B121" s="26"/>
      <c r="C121" s="16" t="s">
        <v>269</v>
      </c>
      <c r="D121" s="19" t="s">
        <v>270</v>
      </c>
      <c r="E121" s="17">
        <v>41144</v>
      </c>
      <c r="F121" s="18">
        <v>49</v>
      </c>
      <c r="G121" s="17"/>
      <c r="H121" s="28">
        <v>1</v>
      </c>
      <c r="I121" s="18" t="s">
        <v>45</v>
      </c>
      <c r="J121" s="28">
        <v>1</v>
      </c>
      <c r="K121" s="18" t="s">
        <v>45</v>
      </c>
      <c r="L121" s="28">
        <v>1</v>
      </c>
      <c r="M121" s="18" t="s">
        <v>45</v>
      </c>
      <c r="N121" s="18" t="s">
        <v>45</v>
      </c>
      <c r="O121" s="28">
        <v>1</v>
      </c>
      <c r="P121" s="28">
        <v>1</v>
      </c>
      <c r="Q121" s="28">
        <v>1</v>
      </c>
      <c r="R121" s="28">
        <v>1</v>
      </c>
      <c r="S121" s="28">
        <v>1</v>
      </c>
      <c r="T121" s="19" t="s">
        <v>184</v>
      </c>
      <c r="U121" s="20">
        <f t="shared" si="48"/>
        <v>161.279</v>
      </c>
      <c r="V121" s="20">
        <v>76.369</v>
      </c>
      <c r="W121" s="20">
        <v>84.91</v>
      </c>
      <c r="X121" s="20"/>
      <c r="Y121" s="21"/>
      <c r="Z121" s="29">
        <v>76.37</v>
      </c>
      <c r="AA121" s="29">
        <v>83.11</v>
      </c>
      <c r="AB121" s="29">
        <f>IF([18]Заяц_беляк!$O$5=0,"",[18]Заяц_беляк!$O$5)</f>
        <v>1.8</v>
      </c>
      <c r="AC121" s="29">
        <f>IF(SUM(Z121:AB121)=0,"",SUM(Z121:AB121))</f>
        <v>161.28000000000003</v>
      </c>
      <c r="AD121" s="23">
        <f t="shared" si="63"/>
        <v>249.02400000000003</v>
      </c>
      <c r="AE121" s="23">
        <f t="shared" si="36"/>
        <v>117.91891666666666</v>
      </c>
      <c r="AF121" s="23">
        <f t="shared" si="37"/>
        <v>128.32579761904762</v>
      </c>
      <c r="AG121" s="23">
        <f t="shared" si="38"/>
        <v>2.7792857142857144</v>
      </c>
      <c r="AH121" s="23">
        <f t="shared" si="39"/>
        <v>33.203200000000002</v>
      </c>
      <c r="AI121" s="23">
        <f t="shared" si="40"/>
        <v>16.601600000000001</v>
      </c>
      <c r="AJ121" s="23">
        <f t="shared" si="41"/>
        <v>49.804800000000007</v>
      </c>
      <c r="AK121" s="30"/>
      <c r="AL121" s="24"/>
      <c r="AM121" s="30"/>
      <c r="AN121" s="24"/>
      <c r="AO121" s="30"/>
      <c r="AP121" s="24"/>
      <c r="AQ121" s="24"/>
      <c r="AR121" s="30">
        <v>48.383000000000003</v>
      </c>
      <c r="AS121" s="30"/>
      <c r="AT121" s="30"/>
      <c r="AU121" s="30"/>
      <c r="AV121" s="30"/>
    </row>
    <row r="122" spans="1:48" s="42" customFormat="1" x14ac:dyDescent="0.3">
      <c r="A122" s="31"/>
      <c r="B122" s="31"/>
      <c r="C122" s="32" t="s">
        <v>52</v>
      </c>
      <c r="D122" s="33"/>
      <c r="E122" s="34"/>
      <c r="F122" s="35"/>
      <c r="G122" s="36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3"/>
      <c r="U122" s="76">
        <f>SUM(U119:U121)</f>
        <v>408.45500000000004</v>
      </c>
      <c r="V122" s="76">
        <f t="shared" ref="V122:AC122" si="64">SUM(V119:V121)</f>
        <v>156.721</v>
      </c>
      <c r="W122" s="76">
        <f t="shared" si="64"/>
        <v>169.63400000000001</v>
      </c>
      <c r="X122" s="76">
        <f t="shared" si="64"/>
        <v>0</v>
      </c>
      <c r="Y122" s="77">
        <f t="shared" si="64"/>
        <v>408.5</v>
      </c>
      <c r="Z122" s="39">
        <f t="shared" si="64"/>
        <v>238.822</v>
      </c>
      <c r="AA122" s="39">
        <f t="shared" si="64"/>
        <v>167.834</v>
      </c>
      <c r="AB122" s="39">
        <f t="shared" si="64"/>
        <v>1.8</v>
      </c>
      <c r="AC122" s="39">
        <f t="shared" si="64"/>
        <v>408.45600000000002</v>
      </c>
      <c r="AD122" s="40">
        <f>280+(AC122-200)*0.1</f>
        <v>300.84559999999999</v>
      </c>
      <c r="AE122" s="40">
        <f t="shared" si="36"/>
        <v>175.90278483655521</v>
      </c>
      <c r="AF122" s="40">
        <f t="shared" si="37"/>
        <v>123.61703691560412</v>
      </c>
      <c r="AG122" s="40">
        <f t="shared" si="38"/>
        <v>1.3257782478406486</v>
      </c>
      <c r="AH122" s="40">
        <f t="shared" si="39"/>
        <v>40.112746666666666</v>
      </c>
      <c r="AI122" s="40">
        <f t="shared" si="40"/>
        <v>20.056373333333333</v>
      </c>
      <c r="AJ122" s="40">
        <f t="shared" si="41"/>
        <v>60.169119999999999</v>
      </c>
      <c r="AK122" s="41"/>
      <c r="AL122" s="41"/>
      <c r="AM122" s="41"/>
      <c r="AN122" s="41"/>
      <c r="AO122" s="41"/>
      <c r="AP122" s="41"/>
      <c r="AQ122" s="41"/>
      <c r="AR122" s="41">
        <v>107.083</v>
      </c>
      <c r="AS122" s="41"/>
      <c r="AT122" s="41"/>
      <c r="AU122" s="41"/>
      <c r="AV122" s="41"/>
    </row>
    <row r="123" spans="1:48" s="78" customFormat="1" ht="19.5" customHeight="1" collapsed="1" x14ac:dyDescent="0.3">
      <c r="A123" s="15">
        <v>19</v>
      </c>
      <c r="B123" s="15" t="s">
        <v>271</v>
      </c>
      <c r="C123" s="16" t="s">
        <v>43</v>
      </c>
      <c r="D123" s="19"/>
      <c r="E123" s="17"/>
      <c r="F123" s="18"/>
      <c r="G123" s="17"/>
      <c r="H123" s="18"/>
      <c r="I123" s="18"/>
      <c r="J123" s="18"/>
      <c r="K123" s="18"/>
      <c r="L123" s="18"/>
      <c r="M123" s="43"/>
      <c r="N123" s="43"/>
      <c r="O123" s="18"/>
      <c r="P123" s="18"/>
      <c r="Q123" s="18"/>
      <c r="R123" s="18"/>
      <c r="S123" s="18"/>
      <c r="T123" s="19"/>
      <c r="U123" s="20">
        <v>135.9</v>
      </c>
      <c r="V123" s="20"/>
      <c r="W123" s="20"/>
      <c r="X123" s="20"/>
      <c r="Y123" s="21">
        <v>859.3</v>
      </c>
      <c r="Z123" s="48">
        <v>135.9</v>
      </c>
      <c r="AA123" s="48">
        <v>0</v>
      </c>
      <c r="AB123" s="48">
        <v>0</v>
      </c>
      <c r="AC123" s="48">
        <f>IF(SUM(Z123:AB123)=0,"",SUM(Z123:AB123))</f>
        <v>135.9</v>
      </c>
      <c r="AD123" s="23">
        <f>160+(AC123-50)*0.8</f>
        <v>228.72000000000003</v>
      </c>
      <c r="AE123" s="23">
        <f t="shared" si="36"/>
        <v>228.72000000000003</v>
      </c>
      <c r="AF123" s="23">
        <f t="shared" si="37"/>
        <v>0</v>
      </c>
      <c r="AG123" s="23">
        <f t="shared" si="38"/>
        <v>0</v>
      </c>
      <c r="AH123" s="23">
        <f t="shared" si="39"/>
        <v>30.496000000000002</v>
      </c>
      <c r="AI123" s="23">
        <f t="shared" si="40"/>
        <v>15.248000000000001</v>
      </c>
      <c r="AJ123" s="23">
        <f t="shared" si="41"/>
        <v>45.744000000000007</v>
      </c>
      <c r="AK123" s="24"/>
      <c r="AL123" s="24"/>
      <c r="AM123" s="24"/>
      <c r="AN123" s="24"/>
      <c r="AO123" s="24"/>
      <c r="AP123" s="44"/>
      <c r="AQ123" s="44"/>
      <c r="AR123" s="24">
        <v>135.9</v>
      </c>
      <c r="AS123" s="24"/>
      <c r="AT123" s="24"/>
      <c r="AU123" s="24"/>
      <c r="AV123" s="24"/>
    </row>
    <row r="124" spans="1:48" s="25" customFormat="1" ht="39.75" customHeight="1" x14ac:dyDescent="0.3">
      <c r="A124" s="26"/>
      <c r="B124" s="26"/>
      <c r="C124" s="16" t="s">
        <v>272</v>
      </c>
      <c r="D124" s="19" t="s">
        <v>273</v>
      </c>
      <c r="E124" s="17">
        <v>41767</v>
      </c>
      <c r="F124" s="18">
        <v>95</v>
      </c>
      <c r="G124" s="17" t="s">
        <v>274</v>
      </c>
      <c r="H124" s="28">
        <v>1</v>
      </c>
      <c r="I124" s="28">
        <v>1</v>
      </c>
      <c r="J124" s="28">
        <v>1</v>
      </c>
      <c r="K124" s="28">
        <v>1</v>
      </c>
      <c r="L124" s="28">
        <v>1</v>
      </c>
      <c r="M124" s="43" t="s">
        <v>45</v>
      </c>
      <c r="N124" s="43" t="s">
        <v>45</v>
      </c>
      <c r="O124" s="28">
        <v>1</v>
      </c>
      <c r="P124" s="28">
        <v>1</v>
      </c>
      <c r="Q124" s="28">
        <v>1</v>
      </c>
      <c r="R124" s="28">
        <v>1</v>
      </c>
      <c r="S124" s="18" t="s">
        <v>45</v>
      </c>
      <c r="T124" s="19" t="s">
        <v>104</v>
      </c>
      <c r="U124" s="20">
        <v>496.05099999999999</v>
      </c>
      <c r="V124" s="20">
        <v>57.911000000000001</v>
      </c>
      <c r="W124" s="20">
        <v>89.9</v>
      </c>
      <c r="X124" s="20"/>
      <c r="Y124" s="21" t="s">
        <v>275</v>
      </c>
      <c r="Z124" s="48">
        <v>391</v>
      </c>
      <c r="AA124" s="48">
        <v>89.9</v>
      </c>
      <c r="AB124" s="48">
        <v>15</v>
      </c>
      <c r="AC124" s="48">
        <f>IF(SUM(Z124:AB124)=0,"",SUM(Z124:AB124))</f>
        <v>495.9</v>
      </c>
      <c r="AD124" s="23">
        <f t="shared" ref="AD124:AD130" si="65">280+(AC124-200)*0.1</f>
        <v>309.58999999999997</v>
      </c>
      <c r="AE124" s="23">
        <f t="shared" si="36"/>
        <v>244.10100826779592</v>
      </c>
      <c r="AF124" s="23">
        <f t="shared" si="37"/>
        <v>56.124502923976607</v>
      </c>
      <c r="AG124" s="23">
        <f t="shared" si="38"/>
        <v>9.3644888082274651</v>
      </c>
      <c r="AH124" s="23">
        <f t="shared" si="39"/>
        <v>41.278666666666666</v>
      </c>
      <c r="AI124" s="23">
        <f t="shared" si="40"/>
        <v>20.639333333333333</v>
      </c>
      <c r="AJ124" s="23">
        <f t="shared" si="41"/>
        <v>61.917999999999992</v>
      </c>
      <c r="AK124" s="30"/>
      <c r="AL124" s="30"/>
      <c r="AM124" s="30"/>
      <c r="AN124" s="30"/>
      <c r="AO124" s="30"/>
      <c r="AP124" s="44"/>
      <c r="AQ124" s="44"/>
      <c r="AR124" s="30">
        <v>407.9</v>
      </c>
      <c r="AS124" s="30"/>
      <c r="AT124" s="30"/>
      <c r="AU124" s="30"/>
      <c r="AV124" s="24"/>
    </row>
    <row r="125" spans="1:48" s="25" customFormat="1" ht="39" customHeight="1" x14ac:dyDescent="0.3">
      <c r="A125" s="26"/>
      <c r="B125" s="26"/>
      <c r="C125" s="16" t="s">
        <v>276</v>
      </c>
      <c r="D125" s="19" t="s">
        <v>277</v>
      </c>
      <c r="E125" s="17">
        <v>41767</v>
      </c>
      <c r="F125" s="18">
        <v>94</v>
      </c>
      <c r="G125" s="17"/>
      <c r="H125" s="28">
        <v>1</v>
      </c>
      <c r="I125" s="28">
        <v>1</v>
      </c>
      <c r="J125" s="28">
        <v>1</v>
      </c>
      <c r="K125" s="28">
        <v>1</v>
      </c>
      <c r="L125" s="28">
        <v>1</v>
      </c>
      <c r="M125" s="43" t="s">
        <v>45</v>
      </c>
      <c r="N125" s="43" t="s">
        <v>45</v>
      </c>
      <c r="O125" s="28">
        <v>1</v>
      </c>
      <c r="P125" s="28">
        <v>1</v>
      </c>
      <c r="Q125" s="28">
        <v>1</v>
      </c>
      <c r="R125" s="28">
        <v>1</v>
      </c>
      <c r="S125" s="18" t="s">
        <v>45</v>
      </c>
      <c r="T125" s="19" t="s">
        <v>104</v>
      </c>
      <c r="U125" s="20">
        <f t="shared" si="48"/>
        <v>227.38200000000001</v>
      </c>
      <c r="V125" s="20">
        <v>155.31</v>
      </c>
      <c r="W125" s="20">
        <v>72.072000000000003</v>
      </c>
      <c r="X125" s="20"/>
      <c r="Y125" s="21"/>
      <c r="Z125" s="48">
        <v>155.31</v>
      </c>
      <c r="AA125" s="48">
        <v>72.072000000000003</v>
      </c>
      <c r="AB125" s="48">
        <v>0</v>
      </c>
      <c r="AC125" s="48">
        <f>IF(SUM(Z125:AB125)=0,"",SUM(Z125:AB125))</f>
        <v>227.38200000000001</v>
      </c>
      <c r="AD125" s="23">
        <f t="shared" si="65"/>
        <v>282.73820000000001</v>
      </c>
      <c r="AE125" s="23">
        <f t="shared" si="36"/>
        <v>193.1202550861546</v>
      </c>
      <c r="AF125" s="23">
        <f t="shared" si="37"/>
        <v>89.617944913845434</v>
      </c>
      <c r="AG125" s="23">
        <f t="shared" si="38"/>
        <v>0</v>
      </c>
      <c r="AH125" s="23">
        <f t="shared" si="39"/>
        <v>37.69842666666667</v>
      </c>
      <c r="AI125" s="23">
        <f t="shared" si="40"/>
        <v>18.849213333333335</v>
      </c>
      <c r="AJ125" s="23">
        <f t="shared" si="41"/>
        <v>56.547640000000001</v>
      </c>
      <c r="AK125" s="30"/>
      <c r="AL125" s="30"/>
      <c r="AM125" s="30"/>
      <c r="AN125" s="30"/>
      <c r="AO125" s="30"/>
      <c r="AP125" s="44"/>
      <c r="AQ125" s="44"/>
      <c r="AR125" s="30">
        <v>226.5</v>
      </c>
      <c r="AS125" s="30"/>
      <c r="AT125" s="30"/>
      <c r="AU125" s="30"/>
      <c r="AV125" s="24"/>
    </row>
    <row r="126" spans="1:48" s="42" customFormat="1" x14ac:dyDescent="0.3">
      <c r="A126" s="31"/>
      <c r="B126" s="31"/>
      <c r="C126" s="32" t="s">
        <v>52</v>
      </c>
      <c r="D126" s="33"/>
      <c r="E126" s="34"/>
      <c r="F126" s="35"/>
      <c r="G126" s="36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3"/>
      <c r="U126" s="76">
        <f>SUM(U123:U125)</f>
        <v>859.33300000000008</v>
      </c>
      <c r="V126" s="76">
        <f t="shared" ref="V126:AC126" si="66">SUM(V123:V125)</f>
        <v>213.221</v>
      </c>
      <c r="W126" s="76">
        <f t="shared" si="66"/>
        <v>161.97200000000001</v>
      </c>
      <c r="X126" s="76">
        <f t="shared" si="66"/>
        <v>0</v>
      </c>
      <c r="Y126" s="77">
        <f t="shared" si="66"/>
        <v>859.3</v>
      </c>
      <c r="Z126" s="39">
        <f t="shared" si="66"/>
        <v>682.21</v>
      </c>
      <c r="AA126" s="39">
        <f t="shared" si="66"/>
        <v>161.97200000000001</v>
      </c>
      <c r="AB126" s="39">
        <f t="shared" si="66"/>
        <v>15</v>
      </c>
      <c r="AC126" s="39">
        <f t="shared" si="66"/>
        <v>859.18200000000002</v>
      </c>
      <c r="AD126" s="40">
        <f t="shared" si="65"/>
        <v>345.91820000000001</v>
      </c>
      <c r="AE126" s="40">
        <f t="shared" si="36"/>
        <v>274.66689854070501</v>
      </c>
      <c r="AF126" s="40">
        <f t="shared" si="37"/>
        <v>65.212100219045553</v>
      </c>
      <c r="AG126" s="40">
        <f t="shared" si="38"/>
        <v>6.0392012402494464</v>
      </c>
      <c r="AH126" s="40">
        <f t="shared" si="39"/>
        <v>46.122426666666669</v>
      </c>
      <c r="AI126" s="40">
        <f t="shared" si="40"/>
        <v>23.061213333333335</v>
      </c>
      <c r="AJ126" s="40">
        <f t="shared" si="41"/>
        <v>69.183639999999997</v>
      </c>
      <c r="AK126" s="41"/>
      <c r="AL126" s="41"/>
      <c r="AM126" s="41"/>
      <c r="AN126" s="41"/>
      <c r="AO126" s="41"/>
      <c r="AP126" s="41"/>
      <c r="AQ126" s="41"/>
      <c r="AR126" s="41">
        <v>770.3</v>
      </c>
      <c r="AS126" s="41"/>
      <c r="AT126" s="41"/>
      <c r="AU126" s="41"/>
      <c r="AV126" s="41"/>
    </row>
    <row r="127" spans="1:48" s="78" customFormat="1" ht="19.5" customHeight="1" x14ac:dyDescent="0.3">
      <c r="A127" s="15">
        <v>20</v>
      </c>
      <c r="B127" s="15" t="s">
        <v>278</v>
      </c>
      <c r="C127" s="16" t="s">
        <v>43</v>
      </c>
      <c r="D127" s="19"/>
      <c r="E127" s="17"/>
      <c r="F127" s="18"/>
      <c r="G127" s="17"/>
      <c r="H127" s="18"/>
      <c r="I127" s="18"/>
      <c r="J127" s="18"/>
      <c r="K127" s="18"/>
      <c r="L127" s="18"/>
      <c r="M127" s="43"/>
      <c r="N127" s="18"/>
      <c r="O127" s="18"/>
      <c r="P127" s="18"/>
      <c r="Q127" s="18"/>
      <c r="R127" s="18"/>
      <c r="S127" s="18"/>
      <c r="T127" s="19"/>
      <c r="U127" s="20">
        <v>824.8</v>
      </c>
      <c r="V127" s="20"/>
      <c r="W127" s="20"/>
      <c r="X127" s="20"/>
      <c r="Y127" s="21">
        <v>3347.8</v>
      </c>
      <c r="Z127" s="48">
        <v>824.8</v>
      </c>
      <c r="AA127" s="48">
        <v>0</v>
      </c>
      <c r="AB127" s="48">
        <v>0</v>
      </c>
      <c r="AC127" s="48">
        <f t="shared" ref="AC127:AC138" si="67">IF(SUM(Z127:AB127)=0,"",SUM(Z127:AB127))</f>
        <v>824.8</v>
      </c>
      <c r="AD127" s="23">
        <f t="shared" si="65"/>
        <v>342.48</v>
      </c>
      <c r="AE127" s="23">
        <f t="shared" si="36"/>
        <v>342.48</v>
      </c>
      <c r="AF127" s="23">
        <f t="shared" si="37"/>
        <v>0</v>
      </c>
      <c r="AG127" s="23">
        <f t="shared" si="38"/>
        <v>0</v>
      </c>
      <c r="AH127" s="23">
        <f t="shared" si="39"/>
        <v>45.664000000000001</v>
      </c>
      <c r="AI127" s="23">
        <f t="shared" si="40"/>
        <v>22.832000000000001</v>
      </c>
      <c r="AJ127" s="23">
        <f t="shared" si="41"/>
        <v>68.496000000000009</v>
      </c>
      <c r="AK127" s="24"/>
      <c r="AL127" s="24"/>
      <c r="AM127" s="24"/>
      <c r="AN127" s="24"/>
      <c r="AO127" s="24"/>
      <c r="AP127" s="44"/>
      <c r="AQ127" s="24"/>
      <c r="AR127" s="24"/>
      <c r="AS127" s="24"/>
      <c r="AT127" s="24"/>
      <c r="AU127" s="24"/>
      <c r="AV127" s="24"/>
    </row>
    <row r="128" spans="1:48" s="25" customFormat="1" ht="35.25" customHeight="1" x14ac:dyDescent="0.3">
      <c r="A128" s="26">
        <v>120</v>
      </c>
      <c r="B128" s="26"/>
      <c r="C128" s="16" t="s">
        <v>279</v>
      </c>
      <c r="D128" s="19" t="s">
        <v>280</v>
      </c>
      <c r="E128" s="17">
        <v>41873</v>
      </c>
      <c r="F128" s="18">
        <v>112</v>
      </c>
      <c r="G128" s="17"/>
      <c r="H128" s="28">
        <v>1</v>
      </c>
      <c r="I128" s="28">
        <v>1</v>
      </c>
      <c r="J128" s="28">
        <v>1</v>
      </c>
      <c r="K128" s="18" t="s">
        <v>45</v>
      </c>
      <c r="L128" s="18" t="s">
        <v>45</v>
      </c>
      <c r="M128" s="43" t="s">
        <v>45</v>
      </c>
      <c r="N128" s="18" t="s">
        <v>45</v>
      </c>
      <c r="O128" s="28">
        <v>1</v>
      </c>
      <c r="P128" s="18" t="s">
        <v>45</v>
      </c>
      <c r="Q128" s="28">
        <v>1</v>
      </c>
      <c r="R128" s="18" t="s">
        <v>45</v>
      </c>
      <c r="S128" s="18" t="s">
        <v>45</v>
      </c>
      <c r="T128" s="19" t="s">
        <v>281</v>
      </c>
      <c r="U128" s="20">
        <f t="shared" si="48"/>
        <v>1700.165</v>
      </c>
      <c r="V128" s="20">
        <v>1700.165</v>
      </c>
      <c r="W128" s="20"/>
      <c r="X128" s="20"/>
      <c r="Y128" s="21" t="s">
        <v>282</v>
      </c>
      <c r="Z128" s="50">
        <v>1700.165</v>
      </c>
      <c r="AA128" s="50">
        <v>0</v>
      </c>
      <c r="AB128" s="50">
        <v>0</v>
      </c>
      <c r="AC128" s="50">
        <f t="shared" si="67"/>
        <v>1700.165</v>
      </c>
      <c r="AD128" s="23">
        <f t="shared" si="65"/>
        <v>430.01650000000001</v>
      </c>
      <c r="AE128" s="23">
        <f t="shared" si="36"/>
        <v>430.01650000000001</v>
      </c>
      <c r="AF128" s="23">
        <f t="shared" si="37"/>
        <v>0</v>
      </c>
      <c r="AG128" s="23">
        <f t="shared" si="38"/>
        <v>0</v>
      </c>
      <c r="AH128" s="23">
        <f t="shared" si="39"/>
        <v>57.335533333333331</v>
      </c>
      <c r="AI128" s="23">
        <f t="shared" si="40"/>
        <v>28.667766666666669</v>
      </c>
      <c r="AJ128" s="23">
        <f t="shared" si="41"/>
        <v>86.003299999999996</v>
      </c>
      <c r="AK128" s="30"/>
      <c r="AL128" s="30"/>
      <c r="AM128" s="30"/>
      <c r="AN128" s="24"/>
      <c r="AO128" s="24"/>
      <c r="AP128" s="44"/>
      <c r="AQ128" s="24"/>
      <c r="AR128" s="30"/>
      <c r="AS128" s="24"/>
      <c r="AT128" s="30"/>
      <c r="AU128" s="24"/>
      <c r="AV128" s="24"/>
    </row>
    <row r="129" spans="1:48" s="25" customFormat="1" ht="39.75" customHeight="1" x14ac:dyDescent="0.3">
      <c r="A129" s="26">
        <v>121</v>
      </c>
      <c r="B129" s="26"/>
      <c r="C129" s="61" t="s">
        <v>283</v>
      </c>
      <c r="D129" s="19"/>
      <c r="E129" s="79"/>
      <c r="F129" s="18"/>
      <c r="G129" s="17">
        <v>42849</v>
      </c>
      <c r="H129" s="28">
        <v>1</v>
      </c>
      <c r="I129" s="18" t="s">
        <v>45</v>
      </c>
      <c r="J129" s="28">
        <v>1</v>
      </c>
      <c r="K129" s="18" t="s">
        <v>45</v>
      </c>
      <c r="L129" s="18" t="s">
        <v>45</v>
      </c>
      <c r="M129" s="43" t="s">
        <v>45</v>
      </c>
      <c r="N129" s="18" t="s">
        <v>45</v>
      </c>
      <c r="O129" s="28">
        <v>1</v>
      </c>
      <c r="P129" s="18" t="s">
        <v>45</v>
      </c>
      <c r="Q129" s="28">
        <v>1</v>
      </c>
      <c r="R129" s="18" t="s">
        <v>45</v>
      </c>
      <c r="S129" s="18" t="s">
        <v>45</v>
      </c>
      <c r="T129" s="19" t="s">
        <v>256</v>
      </c>
      <c r="U129" s="20">
        <f t="shared" si="48"/>
        <v>824.81399999999996</v>
      </c>
      <c r="V129" s="20">
        <v>824.81399999999996</v>
      </c>
      <c r="W129" s="20"/>
      <c r="X129" s="20"/>
      <c r="Y129" s="21"/>
      <c r="Z129" s="50">
        <v>824.8</v>
      </c>
      <c r="AA129" s="50">
        <v>0</v>
      </c>
      <c r="AB129" s="50">
        <v>0</v>
      </c>
      <c r="AC129" s="50">
        <f t="shared" si="67"/>
        <v>824.8</v>
      </c>
      <c r="AD129" s="23">
        <f t="shared" si="65"/>
        <v>342.48</v>
      </c>
      <c r="AE129" s="23">
        <f t="shared" si="36"/>
        <v>342.48</v>
      </c>
      <c r="AF129" s="23">
        <f t="shared" si="37"/>
        <v>0</v>
      </c>
      <c r="AG129" s="23">
        <f t="shared" si="38"/>
        <v>0</v>
      </c>
      <c r="AH129" s="23">
        <f t="shared" si="39"/>
        <v>45.664000000000001</v>
      </c>
      <c r="AI129" s="23">
        <f t="shared" si="40"/>
        <v>22.832000000000001</v>
      </c>
      <c r="AJ129" s="23">
        <f t="shared" si="41"/>
        <v>68.496000000000009</v>
      </c>
      <c r="AK129" s="30"/>
      <c r="AL129" s="24"/>
      <c r="AM129" s="30"/>
      <c r="AN129" s="24"/>
      <c r="AO129" s="24"/>
      <c r="AP129" s="44"/>
      <c r="AQ129" s="24"/>
      <c r="AR129" s="30"/>
      <c r="AS129" s="24"/>
      <c r="AT129" s="30"/>
      <c r="AU129" s="24"/>
      <c r="AV129" s="24"/>
    </row>
    <row r="130" spans="1:48" s="42" customFormat="1" x14ac:dyDescent="0.3">
      <c r="A130" s="31"/>
      <c r="B130" s="31"/>
      <c r="C130" s="32" t="s">
        <v>52</v>
      </c>
      <c r="D130" s="33"/>
      <c r="E130" s="34"/>
      <c r="F130" s="35"/>
      <c r="G130" s="36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3"/>
      <c r="U130" s="76">
        <f>SUM(U127:U129)</f>
        <v>3349.779</v>
      </c>
      <c r="V130" s="76">
        <f t="shared" ref="V130:AC130" si="68">SUM(V127:V129)</f>
        <v>2524.9789999999998</v>
      </c>
      <c r="W130" s="76">
        <f t="shared" si="68"/>
        <v>0</v>
      </c>
      <c r="X130" s="76">
        <f t="shared" si="68"/>
        <v>0</v>
      </c>
      <c r="Y130" s="77">
        <f t="shared" si="68"/>
        <v>3347.8</v>
      </c>
      <c r="Z130" s="39">
        <f t="shared" si="68"/>
        <v>3349.7650000000003</v>
      </c>
      <c r="AA130" s="39">
        <f t="shared" si="68"/>
        <v>0</v>
      </c>
      <c r="AB130" s="39">
        <f t="shared" si="68"/>
        <v>0</v>
      </c>
      <c r="AC130" s="39">
        <f t="shared" si="68"/>
        <v>3349.7650000000003</v>
      </c>
      <c r="AD130" s="40">
        <f t="shared" si="65"/>
        <v>594.97649999999999</v>
      </c>
      <c r="AE130" s="40">
        <f t="shared" si="36"/>
        <v>594.97649999999999</v>
      </c>
      <c r="AF130" s="40">
        <f t="shared" si="37"/>
        <v>0</v>
      </c>
      <c r="AG130" s="40">
        <f t="shared" si="38"/>
        <v>0</v>
      </c>
      <c r="AH130" s="40">
        <f t="shared" si="39"/>
        <v>79.330200000000005</v>
      </c>
      <c r="AI130" s="40">
        <f t="shared" si="40"/>
        <v>39.665100000000002</v>
      </c>
      <c r="AJ130" s="40">
        <f t="shared" si="41"/>
        <v>118.9953</v>
      </c>
      <c r="AK130" s="41"/>
      <c r="AL130" s="41"/>
      <c r="AM130" s="41"/>
      <c r="AN130" s="41"/>
      <c r="AO130" s="41"/>
      <c r="AP130" s="41"/>
      <c r="AQ130" s="41"/>
      <c r="AR130" s="41">
        <v>0</v>
      </c>
      <c r="AS130" s="41"/>
      <c r="AT130" s="41"/>
      <c r="AU130" s="41"/>
      <c r="AV130" s="41"/>
    </row>
    <row r="131" spans="1:48" s="25" customFormat="1" ht="21" customHeight="1" x14ac:dyDescent="0.3">
      <c r="A131" s="15">
        <v>21</v>
      </c>
      <c r="B131" s="15" t="s">
        <v>284</v>
      </c>
      <c r="C131" s="16" t="s">
        <v>43</v>
      </c>
      <c r="D131" s="19"/>
      <c r="E131" s="79"/>
      <c r="F131" s="18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9"/>
      <c r="U131" s="20">
        <v>94.8</v>
      </c>
      <c r="V131" s="20"/>
      <c r="W131" s="20"/>
      <c r="X131" s="20"/>
      <c r="Y131" s="21">
        <v>473.6</v>
      </c>
      <c r="Z131" s="48">
        <v>94.8</v>
      </c>
      <c r="AA131" s="48">
        <v>0</v>
      </c>
      <c r="AB131" s="48">
        <v>0</v>
      </c>
      <c r="AC131" s="48">
        <f t="shared" si="67"/>
        <v>94.8</v>
      </c>
      <c r="AD131" s="23">
        <f>160+(AC131-50)*0.8</f>
        <v>195.84</v>
      </c>
      <c r="AE131" s="23">
        <f t="shared" si="36"/>
        <v>195.84000000000003</v>
      </c>
      <c r="AF131" s="23">
        <f t="shared" si="37"/>
        <v>0</v>
      </c>
      <c r="AG131" s="23">
        <f t="shared" si="38"/>
        <v>0</v>
      </c>
      <c r="AH131" s="23">
        <f t="shared" si="39"/>
        <v>26.112000000000002</v>
      </c>
      <c r="AI131" s="23">
        <f t="shared" si="40"/>
        <v>13.056000000000001</v>
      </c>
      <c r="AJ131" s="23">
        <f t="shared" si="41"/>
        <v>39.167999999999999</v>
      </c>
      <c r="AK131" s="24"/>
      <c r="AL131" s="24"/>
      <c r="AM131" s="24"/>
      <c r="AN131" s="24"/>
      <c r="AO131" s="24"/>
      <c r="AP131" s="24"/>
      <c r="AQ131" s="24"/>
      <c r="AR131" s="24">
        <v>97.4</v>
      </c>
      <c r="AS131" s="24"/>
      <c r="AT131" s="24"/>
      <c r="AU131" s="24"/>
      <c r="AV131" s="24"/>
    </row>
    <row r="132" spans="1:48" s="25" customFormat="1" ht="39" customHeight="1" x14ac:dyDescent="0.3">
      <c r="A132" s="26"/>
      <c r="B132" s="26"/>
      <c r="C132" s="61" t="s">
        <v>285</v>
      </c>
      <c r="D132" s="19" t="s">
        <v>286</v>
      </c>
      <c r="E132" s="17">
        <v>41740</v>
      </c>
      <c r="F132" s="18">
        <v>91</v>
      </c>
      <c r="G132" s="17"/>
      <c r="H132" s="28">
        <v>1</v>
      </c>
      <c r="I132" s="28">
        <v>1</v>
      </c>
      <c r="J132" s="28">
        <v>1</v>
      </c>
      <c r="K132" s="18" t="s">
        <v>45</v>
      </c>
      <c r="L132" s="28">
        <v>1</v>
      </c>
      <c r="M132" s="18" t="s">
        <v>45</v>
      </c>
      <c r="N132" s="18" t="s">
        <v>45</v>
      </c>
      <c r="O132" s="28">
        <v>1</v>
      </c>
      <c r="P132" s="18" t="s">
        <v>45</v>
      </c>
      <c r="Q132" s="28">
        <v>1</v>
      </c>
      <c r="R132" s="18" t="s">
        <v>45</v>
      </c>
      <c r="S132" s="18" t="s">
        <v>45</v>
      </c>
      <c r="T132" s="19" t="s">
        <v>287</v>
      </c>
      <c r="U132" s="20">
        <f t="shared" si="48"/>
        <v>297.572</v>
      </c>
      <c r="V132" s="20">
        <v>238.892</v>
      </c>
      <c r="W132" s="20">
        <v>58.68</v>
      </c>
      <c r="X132" s="20"/>
      <c r="Y132" s="21"/>
      <c r="Z132" s="48">
        <v>238.892</v>
      </c>
      <c r="AA132" s="48">
        <v>58.68</v>
      </c>
      <c r="AB132" s="48">
        <v>0</v>
      </c>
      <c r="AC132" s="48">
        <f t="shared" si="67"/>
        <v>297.572</v>
      </c>
      <c r="AD132" s="23">
        <f>280+(AC132-200)*0.1</f>
        <v>289.75720000000001</v>
      </c>
      <c r="AE132" s="23">
        <f t="shared" si="36"/>
        <v>232.61824708776365</v>
      </c>
      <c r="AF132" s="23">
        <f t="shared" si="37"/>
        <v>57.13895291223637</v>
      </c>
      <c r="AG132" s="23">
        <f t="shared" si="38"/>
        <v>0</v>
      </c>
      <c r="AH132" s="23">
        <f t="shared" si="39"/>
        <v>38.634293333333332</v>
      </c>
      <c r="AI132" s="23">
        <f t="shared" si="40"/>
        <v>19.317146666666666</v>
      </c>
      <c r="AJ132" s="23">
        <f t="shared" si="41"/>
        <v>57.951440000000005</v>
      </c>
      <c r="AK132" s="30"/>
      <c r="AL132" s="30"/>
      <c r="AM132" s="30"/>
      <c r="AN132" s="24"/>
      <c r="AO132" s="30"/>
      <c r="AP132" s="24"/>
      <c r="AQ132" s="24"/>
      <c r="AR132" s="30">
        <v>238</v>
      </c>
      <c r="AS132" s="24"/>
      <c r="AT132" s="30"/>
      <c r="AU132" s="24"/>
      <c r="AV132" s="24"/>
    </row>
    <row r="133" spans="1:48" s="25" customFormat="1" ht="39" customHeight="1" x14ac:dyDescent="0.3">
      <c r="A133" s="26"/>
      <c r="B133" s="26"/>
      <c r="C133" s="61" t="s">
        <v>288</v>
      </c>
      <c r="D133" s="19" t="s">
        <v>289</v>
      </c>
      <c r="E133" s="17">
        <v>41617</v>
      </c>
      <c r="F133" s="18">
        <v>80</v>
      </c>
      <c r="G133" s="17"/>
      <c r="H133" s="28">
        <v>1</v>
      </c>
      <c r="I133" s="28">
        <v>1</v>
      </c>
      <c r="J133" s="28">
        <v>1</v>
      </c>
      <c r="K133" s="18" t="s">
        <v>45</v>
      </c>
      <c r="L133" s="18" t="s">
        <v>45</v>
      </c>
      <c r="M133" s="18" t="s">
        <v>45</v>
      </c>
      <c r="N133" s="18" t="s">
        <v>45</v>
      </c>
      <c r="O133" s="28">
        <v>1</v>
      </c>
      <c r="P133" s="28">
        <v>1</v>
      </c>
      <c r="Q133" s="28">
        <v>1</v>
      </c>
      <c r="R133" s="28">
        <v>1</v>
      </c>
      <c r="S133" s="28">
        <v>1</v>
      </c>
      <c r="T133" s="19" t="s">
        <v>180</v>
      </c>
      <c r="U133" s="20">
        <f t="shared" si="48"/>
        <v>17.866</v>
      </c>
      <c r="V133" s="20">
        <v>17.866</v>
      </c>
      <c r="W133" s="20"/>
      <c r="X133" s="20"/>
      <c r="Y133" s="21"/>
      <c r="Z133" s="50">
        <v>17.866</v>
      </c>
      <c r="AA133" s="50">
        <v>0</v>
      </c>
      <c r="AB133" s="50">
        <v>0</v>
      </c>
      <c r="AC133" s="50">
        <f t="shared" si="67"/>
        <v>17.866</v>
      </c>
      <c r="AD133" s="23">
        <f>50+(AC133-10)*5</f>
        <v>89.33</v>
      </c>
      <c r="AE133" s="23">
        <f t="shared" si="36"/>
        <v>89.33</v>
      </c>
      <c r="AF133" s="23">
        <f t="shared" si="37"/>
        <v>0</v>
      </c>
      <c r="AG133" s="23">
        <f t="shared" si="38"/>
        <v>0</v>
      </c>
      <c r="AH133" s="23">
        <f t="shared" si="39"/>
        <v>11.910666666666666</v>
      </c>
      <c r="AI133" s="23">
        <f t="shared" si="40"/>
        <v>5.9553333333333329</v>
      </c>
      <c r="AJ133" s="23">
        <f t="shared" si="41"/>
        <v>17.866</v>
      </c>
      <c r="AK133" s="30"/>
      <c r="AL133" s="30"/>
      <c r="AM133" s="30"/>
      <c r="AN133" s="24"/>
      <c r="AO133" s="24"/>
      <c r="AP133" s="24"/>
      <c r="AQ133" s="24"/>
      <c r="AR133" s="30">
        <v>17.866</v>
      </c>
      <c r="AS133" s="30"/>
      <c r="AT133" s="30"/>
      <c r="AU133" s="30"/>
      <c r="AV133" s="30"/>
    </row>
    <row r="134" spans="1:48" s="25" customFormat="1" ht="36.75" customHeight="1" x14ac:dyDescent="0.3">
      <c r="A134" s="26"/>
      <c r="B134" s="26"/>
      <c r="C134" s="16" t="s">
        <v>290</v>
      </c>
      <c r="D134" s="19" t="s">
        <v>291</v>
      </c>
      <c r="E134" s="17">
        <v>40885</v>
      </c>
      <c r="F134" s="18">
        <v>34</v>
      </c>
      <c r="G134" s="17"/>
      <c r="H134" s="28">
        <v>1</v>
      </c>
      <c r="I134" s="18" t="s">
        <v>45</v>
      </c>
      <c r="J134" s="18" t="s">
        <v>45</v>
      </c>
      <c r="K134" s="18" t="s">
        <v>45</v>
      </c>
      <c r="L134" s="18" t="s">
        <v>45</v>
      </c>
      <c r="M134" s="18" t="s">
        <v>45</v>
      </c>
      <c r="N134" s="18" t="s">
        <v>45</v>
      </c>
      <c r="O134" s="28">
        <v>1</v>
      </c>
      <c r="P134" s="18" t="s">
        <v>45</v>
      </c>
      <c r="Q134" s="28">
        <v>1</v>
      </c>
      <c r="R134" s="18" t="s">
        <v>45</v>
      </c>
      <c r="S134" s="18" t="s">
        <v>45</v>
      </c>
      <c r="T134" s="19" t="s">
        <v>292</v>
      </c>
      <c r="U134" s="20">
        <f t="shared" si="48"/>
        <v>60.771999999999998</v>
      </c>
      <c r="V134" s="20">
        <v>60.771999999999998</v>
      </c>
      <c r="W134" s="20"/>
      <c r="X134" s="20"/>
      <c r="Y134" s="21"/>
      <c r="Z134" s="50">
        <v>60.771999999999998</v>
      </c>
      <c r="AA134" s="50">
        <v>0</v>
      </c>
      <c r="AB134" s="50">
        <v>0</v>
      </c>
      <c r="AC134" s="50">
        <f t="shared" si="67"/>
        <v>60.771999999999998</v>
      </c>
      <c r="AD134" s="23">
        <f>160+(AC134-50)*0.8</f>
        <v>168.61760000000001</v>
      </c>
      <c r="AE134" s="23">
        <f t="shared" ref="AE134:AE197" si="69">AD134*Z134/AC134</f>
        <v>168.61760000000001</v>
      </c>
      <c r="AF134" s="23">
        <f t="shared" ref="AF134:AF197" si="70">AD134*AA134/AC134</f>
        <v>0</v>
      </c>
      <c r="AG134" s="23">
        <f t="shared" ref="AG134:AG197" si="71">AD134*AB134/AC134</f>
        <v>0</v>
      </c>
      <c r="AH134" s="23">
        <f t="shared" ref="AH134:AH197" si="72">AVERAGE(AI134:AJ134)</f>
        <v>22.482346666666668</v>
      </c>
      <c r="AI134" s="23">
        <f t="shared" ref="AI134:AI197" si="73">AD134/15</f>
        <v>11.241173333333334</v>
      </c>
      <c r="AJ134" s="23">
        <f t="shared" ref="AJ134:AJ197" si="74">AD134/5</f>
        <v>33.723520000000001</v>
      </c>
      <c r="AK134" s="30"/>
      <c r="AL134" s="24"/>
      <c r="AM134" s="24"/>
      <c r="AN134" s="24"/>
      <c r="AO134" s="24"/>
      <c r="AP134" s="24"/>
      <c r="AQ134" s="24"/>
      <c r="AR134" s="30">
        <v>60.1</v>
      </c>
      <c r="AS134" s="24"/>
      <c r="AT134" s="30"/>
      <c r="AU134" s="24"/>
      <c r="AV134" s="24"/>
    </row>
    <row r="135" spans="1:48" s="42" customFormat="1" x14ac:dyDescent="0.3">
      <c r="A135" s="31"/>
      <c r="B135" s="31"/>
      <c r="C135" s="32" t="s">
        <v>52</v>
      </c>
      <c r="D135" s="33"/>
      <c r="E135" s="34"/>
      <c r="F135" s="35"/>
      <c r="G135" s="36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3"/>
      <c r="U135" s="76">
        <f>SUM(U131:U134)</f>
        <v>471.01</v>
      </c>
      <c r="V135" s="76">
        <f t="shared" ref="V135:AC135" si="75">SUM(V131:V134)</f>
        <v>317.52999999999997</v>
      </c>
      <c r="W135" s="76">
        <f t="shared" si="75"/>
        <v>58.68</v>
      </c>
      <c r="X135" s="76">
        <f t="shared" si="75"/>
        <v>0</v>
      </c>
      <c r="Y135" s="77">
        <f t="shared" si="75"/>
        <v>473.6</v>
      </c>
      <c r="Z135" s="39">
        <f t="shared" si="75"/>
        <v>412.33</v>
      </c>
      <c r="AA135" s="39">
        <f t="shared" si="75"/>
        <v>58.68</v>
      </c>
      <c r="AB135" s="39">
        <f t="shared" si="75"/>
        <v>0</v>
      </c>
      <c r="AC135" s="80">
        <f t="shared" si="75"/>
        <v>471.01</v>
      </c>
      <c r="AD135" s="40">
        <f>280+(AC135-200)*0.1</f>
        <v>307.101</v>
      </c>
      <c r="AE135" s="40">
        <f t="shared" si="69"/>
        <v>268.84133103331141</v>
      </c>
      <c r="AF135" s="40">
        <f t="shared" si="70"/>
        <v>38.259668966688601</v>
      </c>
      <c r="AG135" s="40">
        <f t="shared" si="71"/>
        <v>0</v>
      </c>
      <c r="AH135" s="40">
        <f t="shared" si="72"/>
        <v>40.946800000000003</v>
      </c>
      <c r="AI135" s="40">
        <f t="shared" si="73"/>
        <v>20.473400000000002</v>
      </c>
      <c r="AJ135" s="40">
        <f t="shared" si="74"/>
        <v>61.420200000000001</v>
      </c>
      <c r="AK135" s="41"/>
      <c r="AL135" s="41"/>
      <c r="AM135" s="41"/>
      <c r="AN135" s="41"/>
      <c r="AO135" s="41"/>
      <c r="AP135" s="41"/>
      <c r="AQ135" s="41"/>
      <c r="AR135" s="41">
        <v>413.36599999999999</v>
      </c>
      <c r="AS135" s="41"/>
      <c r="AT135" s="41"/>
      <c r="AU135" s="41"/>
      <c r="AV135" s="41"/>
    </row>
    <row r="136" spans="1:48" s="25" customFormat="1" ht="18" customHeight="1" x14ac:dyDescent="0.3">
      <c r="A136" s="15">
        <v>22</v>
      </c>
      <c r="B136" s="15" t="s">
        <v>293</v>
      </c>
      <c r="C136" s="16" t="s">
        <v>43</v>
      </c>
      <c r="D136" s="19"/>
      <c r="E136" s="17"/>
      <c r="F136" s="18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9"/>
      <c r="U136" s="20">
        <v>186.9</v>
      </c>
      <c r="V136" s="20"/>
      <c r="W136" s="20"/>
      <c r="X136" s="20"/>
      <c r="Y136" s="21">
        <v>296.2</v>
      </c>
      <c r="Z136" s="48">
        <v>186.9</v>
      </c>
      <c r="AA136" s="48">
        <v>0</v>
      </c>
      <c r="AB136" s="48">
        <v>0</v>
      </c>
      <c r="AC136" s="48">
        <f t="shared" si="67"/>
        <v>186.9</v>
      </c>
      <c r="AD136" s="23">
        <f>160+(AC136-50)*0.8</f>
        <v>269.52</v>
      </c>
      <c r="AE136" s="23">
        <f t="shared" si="69"/>
        <v>269.52</v>
      </c>
      <c r="AF136" s="23">
        <f t="shared" si="70"/>
        <v>0</v>
      </c>
      <c r="AG136" s="23">
        <f t="shared" si="71"/>
        <v>0</v>
      </c>
      <c r="AH136" s="23">
        <f t="shared" si="72"/>
        <v>35.936</v>
      </c>
      <c r="AI136" s="23">
        <f t="shared" si="73"/>
        <v>17.968</v>
      </c>
      <c r="AJ136" s="23">
        <f t="shared" si="74"/>
        <v>53.903999999999996</v>
      </c>
      <c r="AK136" s="24"/>
      <c r="AL136" s="24"/>
      <c r="AM136" s="24"/>
      <c r="AN136" s="24"/>
      <c r="AO136" s="24"/>
      <c r="AP136" s="24"/>
      <c r="AQ136" s="24"/>
      <c r="AR136" s="24">
        <v>30</v>
      </c>
      <c r="AS136" s="24"/>
      <c r="AT136" s="24"/>
      <c r="AU136" s="24"/>
      <c r="AV136" s="24"/>
    </row>
    <row r="137" spans="1:48" s="25" customFormat="1" ht="37.5" customHeight="1" x14ac:dyDescent="0.3">
      <c r="A137" s="26"/>
      <c r="B137" s="26"/>
      <c r="C137" s="16" t="s">
        <v>294</v>
      </c>
      <c r="D137" s="19" t="s">
        <v>295</v>
      </c>
      <c r="E137" s="17">
        <v>40997</v>
      </c>
      <c r="F137" s="18">
        <v>59</v>
      </c>
      <c r="G137" s="17"/>
      <c r="H137" s="28">
        <v>1</v>
      </c>
      <c r="I137" s="28">
        <v>1</v>
      </c>
      <c r="J137" s="28">
        <v>1</v>
      </c>
      <c r="K137" s="28">
        <v>1</v>
      </c>
      <c r="L137" s="18" t="s">
        <v>45</v>
      </c>
      <c r="M137" s="18" t="s">
        <v>45</v>
      </c>
      <c r="N137" s="18" t="s">
        <v>45</v>
      </c>
      <c r="O137" s="28">
        <v>1</v>
      </c>
      <c r="P137" s="28">
        <v>1</v>
      </c>
      <c r="Q137" s="28">
        <v>1</v>
      </c>
      <c r="R137" s="28">
        <v>1</v>
      </c>
      <c r="S137" s="28">
        <v>1</v>
      </c>
      <c r="T137" s="19" t="s">
        <v>79</v>
      </c>
      <c r="U137" s="20">
        <f t="shared" si="48"/>
        <v>20.382999999999999</v>
      </c>
      <c r="V137" s="20">
        <v>14.29</v>
      </c>
      <c r="W137" s="20">
        <v>6.093</v>
      </c>
      <c r="X137" s="20"/>
      <c r="Y137" s="21" t="s">
        <v>296</v>
      </c>
      <c r="Z137" s="50">
        <v>14.29</v>
      </c>
      <c r="AA137" s="50">
        <v>6.093</v>
      </c>
      <c r="AB137" s="50">
        <v>0</v>
      </c>
      <c r="AC137" s="50">
        <f t="shared" si="67"/>
        <v>20.382999999999999</v>
      </c>
      <c r="AD137" s="23">
        <f>100+(AC137-20)*2</f>
        <v>100.76599999999999</v>
      </c>
      <c r="AE137" s="23">
        <f t="shared" si="69"/>
        <v>70.644465485944167</v>
      </c>
      <c r="AF137" s="23">
        <f t="shared" si="70"/>
        <v>30.121534514055831</v>
      </c>
      <c r="AG137" s="23">
        <f t="shared" si="71"/>
        <v>0</v>
      </c>
      <c r="AH137" s="23">
        <f t="shared" si="72"/>
        <v>13.435466666666665</v>
      </c>
      <c r="AI137" s="23">
        <f t="shared" si="73"/>
        <v>6.7177333333333324</v>
      </c>
      <c r="AJ137" s="23">
        <f t="shared" si="74"/>
        <v>20.153199999999998</v>
      </c>
      <c r="AK137" s="30"/>
      <c r="AL137" s="30"/>
      <c r="AM137" s="30"/>
      <c r="AN137" s="30"/>
      <c r="AO137" s="24"/>
      <c r="AP137" s="24"/>
      <c r="AQ137" s="24"/>
      <c r="AR137" s="30">
        <v>0</v>
      </c>
      <c r="AS137" s="30"/>
      <c r="AT137" s="30"/>
      <c r="AU137" s="30"/>
      <c r="AV137" s="30"/>
    </row>
    <row r="138" spans="1:48" s="25" customFormat="1" ht="36.75" customHeight="1" x14ac:dyDescent="0.3">
      <c r="A138" s="26"/>
      <c r="B138" s="26"/>
      <c r="C138" s="16" t="s">
        <v>59</v>
      </c>
      <c r="D138" s="19" t="s">
        <v>297</v>
      </c>
      <c r="E138" s="17">
        <v>41780</v>
      </c>
      <c r="F138" s="18">
        <v>39</v>
      </c>
      <c r="G138" s="17"/>
      <c r="H138" s="28">
        <v>1</v>
      </c>
      <c r="I138" s="28">
        <v>1</v>
      </c>
      <c r="J138" s="28">
        <v>1</v>
      </c>
      <c r="K138" s="28">
        <v>1</v>
      </c>
      <c r="L138" s="18" t="s">
        <v>45</v>
      </c>
      <c r="M138" s="18" t="s">
        <v>45</v>
      </c>
      <c r="N138" s="18" t="s">
        <v>45</v>
      </c>
      <c r="O138" s="28">
        <v>1</v>
      </c>
      <c r="P138" s="28">
        <v>1</v>
      </c>
      <c r="Q138" s="28">
        <v>1</v>
      </c>
      <c r="R138" s="28">
        <v>1</v>
      </c>
      <c r="S138" s="28">
        <v>1</v>
      </c>
      <c r="T138" s="19" t="s">
        <v>79</v>
      </c>
      <c r="U138" s="20">
        <f t="shared" si="48"/>
        <v>91.058999999999997</v>
      </c>
      <c r="V138" s="20">
        <v>29.774000000000001</v>
      </c>
      <c r="W138" s="20">
        <v>60.783999999999999</v>
      </c>
      <c r="X138" s="20">
        <v>0.501</v>
      </c>
      <c r="Y138" s="21" t="s">
        <v>298</v>
      </c>
      <c r="Z138" s="50">
        <v>29.774000000000001</v>
      </c>
      <c r="AA138" s="50">
        <v>61.284999999999997</v>
      </c>
      <c r="AB138" s="50">
        <v>0</v>
      </c>
      <c r="AC138" s="50">
        <f t="shared" si="67"/>
        <v>91.058999999999997</v>
      </c>
      <c r="AD138" s="23">
        <f>160+(AC138-50)*0.8</f>
        <v>192.84719999999999</v>
      </c>
      <c r="AE138" s="23">
        <f t="shared" si="69"/>
        <v>63.056178222910425</v>
      </c>
      <c r="AF138" s="23">
        <f t="shared" si="70"/>
        <v>129.79102177708955</v>
      </c>
      <c r="AG138" s="23">
        <f t="shared" si="71"/>
        <v>0</v>
      </c>
      <c r="AH138" s="23">
        <f t="shared" si="72"/>
        <v>25.712959999999999</v>
      </c>
      <c r="AI138" s="23">
        <f t="shared" si="73"/>
        <v>12.856479999999999</v>
      </c>
      <c r="AJ138" s="23">
        <f t="shared" si="74"/>
        <v>38.56944</v>
      </c>
      <c r="AK138" s="30"/>
      <c r="AL138" s="30"/>
      <c r="AM138" s="30"/>
      <c r="AN138" s="30"/>
      <c r="AO138" s="24"/>
      <c r="AP138" s="24"/>
      <c r="AQ138" s="24"/>
      <c r="AR138" s="30">
        <v>35</v>
      </c>
      <c r="AS138" s="30"/>
      <c r="AT138" s="30"/>
      <c r="AU138" s="30"/>
      <c r="AV138" s="30"/>
    </row>
    <row r="139" spans="1:48" s="42" customFormat="1" x14ac:dyDescent="0.3">
      <c r="A139" s="31"/>
      <c r="B139" s="31"/>
      <c r="C139" s="32" t="s">
        <v>52</v>
      </c>
      <c r="D139" s="33"/>
      <c r="E139" s="34"/>
      <c r="F139" s="35"/>
      <c r="G139" s="36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3"/>
      <c r="U139" s="76">
        <f>SUM(U136:U138)</f>
        <v>298.34199999999998</v>
      </c>
      <c r="V139" s="76">
        <f t="shared" ref="V139:AC139" si="76">SUM(V136:V138)</f>
        <v>44.064</v>
      </c>
      <c r="W139" s="76">
        <f t="shared" si="76"/>
        <v>66.876999999999995</v>
      </c>
      <c r="X139" s="76">
        <f t="shared" si="76"/>
        <v>0.501</v>
      </c>
      <c r="Y139" s="77">
        <f t="shared" si="76"/>
        <v>296.2</v>
      </c>
      <c r="Z139" s="39">
        <f t="shared" si="76"/>
        <v>230.964</v>
      </c>
      <c r="AA139" s="39">
        <f t="shared" si="76"/>
        <v>67.378</v>
      </c>
      <c r="AB139" s="39">
        <f t="shared" si="76"/>
        <v>0</v>
      </c>
      <c r="AC139" s="39">
        <f t="shared" si="76"/>
        <v>298.34199999999998</v>
      </c>
      <c r="AD139" s="40">
        <f>280+(AC139-200)*0.1</f>
        <v>289.83420000000001</v>
      </c>
      <c r="AE139" s="40">
        <f t="shared" si="69"/>
        <v>224.37761417701836</v>
      </c>
      <c r="AF139" s="40">
        <f t="shared" si="70"/>
        <v>65.45658582298168</v>
      </c>
      <c r="AG139" s="40">
        <f t="shared" si="71"/>
        <v>0</v>
      </c>
      <c r="AH139" s="40">
        <f t="shared" si="72"/>
        <v>38.644559999999998</v>
      </c>
      <c r="AI139" s="40">
        <f t="shared" si="73"/>
        <v>19.322279999999999</v>
      </c>
      <c r="AJ139" s="40">
        <f t="shared" si="74"/>
        <v>57.966840000000005</v>
      </c>
      <c r="AK139" s="41"/>
      <c r="AL139" s="41"/>
      <c r="AM139" s="41"/>
      <c r="AN139" s="41"/>
      <c r="AO139" s="41"/>
      <c r="AP139" s="41"/>
      <c r="AQ139" s="41"/>
      <c r="AR139" s="41">
        <v>65</v>
      </c>
      <c r="AS139" s="41"/>
      <c r="AT139" s="41"/>
      <c r="AU139" s="41"/>
      <c r="AV139" s="41"/>
    </row>
    <row r="140" spans="1:48" s="25" customFormat="1" ht="19.5" customHeight="1" x14ac:dyDescent="0.3">
      <c r="A140" s="15">
        <v>23</v>
      </c>
      <c r="B140" s="15" t="s">
        <v>299</v>
      </c>
      <c r="C140" s="16" t="s">
        <v>43</v>
      </c>
      <c r="D140" s="19"/>
      <c r="E140" s="17"/>
      <c r="F140" s="18"/>
      <c r="G140" s="17"/>
      <c r="H140" s="18"/>
      <c r="I140" s="18"/>
      <c r="J140" s="18"/>
      <c r="K140" s="18"/>
      <c r="L140" s="18"/>
      <c r="M140" s="43"/>
      <c r="N140" s="43"/>
      <c r="O140" s="18"/>
      <c r="P140" s="18"/>
      <c r="Q140" s="18"/>
      <c r="R140" s="18"/>
      <c r="S140" s="18"/>
      <c r="T140" s="19"/>
      <c r="U140" s="20">
        <v>145.4</v>
      </c>
      <c r="V140" s="20"/>
      <c r="W140" s="20"/>
      <c r="X140" s="20"/>
      <c r="Y140" s="21">
        <v>2341.6999999999998</v>
      </c>
      <c r="Z140" s="22">
        <v>145.4</v>
      </c>
      <c r="AA140" s="22">
        <v>0</v>
      </c>
      <c r="AB140" s="22">
        <v>0</v>
      </c>
      <c r="AC140" s="22">
        <f t="shared" ref="AC140:AC167" si="77">IF(SUM(Z140:AB140)=0,"",SUM(Z140:AB140))</f>
        <v>145.4</v>
      </c>
      <c r="AD140" s="23">
        <f>160+(AC140-50)*0.8</f>
        <v>236.32</v>
      </c>
      <c r="AE140" s="23">
        <f t="shared" si="69"/>
        <v>236.32</v>
      </c>
      <c r="AF140" s="23">
        <f t="shared" si="70"/>
        <v>0</v>
      </c>
      <c r="AG140" s="23">
        <f t="shared" si="71"/>
        <v>0</v>
      </c>
      <c r="AH140" s="23">
        <f t="shared" si="72"/>
        <v>31.509333333333331</v>
      </c>
      <c r="AI140" s="23">
        <f t="shared" si="73"/>
        <v>15.754666666666667</v>
      </c>
      <c r="AJ140" s="23">
        <f t="shared" si="74"/>
        <v>47.263999999999996</v>
      </c>
      <c r="AK140" s="24"/>
      <c r="AL140" s="24"/>
      <c r="AM140" s="24"/>
      <c r="AN140" s="24"/>
      <c r="AO140" s="24"/>
      <c r="AP140" s="44"/>
      <c r="AQ140" s="44"/>
      <c r="AR140" s="24">
        <v>73.400000000000006</v>
      </c>
      <c r="AS140" s="24"/>
      <c r="AT140" s="24"/>
      <c r="AU140" s="24"/>
      <c r="AV140" s="24"/>
    </row>
    <row r="141" spans="1:48" s="25" customFormat="1" ht="33.75" customHeight="1" x14ac:dyDescent="0.3">
      <c r="A141" s="26">
        <v>133</v>
      </c>
      <c r="B141" s="26"/>
      <c r="C141" s="16" t="s">
        <v>300</v>
      </c>
      <c r="D141" s="19"/>
      <c r="E141" s="17"/>
      <c r="F141" s="18"/>
      <c r="G141" s="17">
        <v>42753</v>
      </c>
      <c r="H141" s="28">
        <v>1</v>
      </c>
      <c r="I141" s="18" t="s">
        <v>45</v>
      </c>
      <c r="J141" s="18" t="s">
        <v>45</v>
      </c>
      <c r="K141" s="18" t="s">
        <v>45</v>
      </c>
      <c r="L141" s="18" t="s">
        <v>45</v>
      </c>
      <c r="M141" s="43" t="s">
        <v>45</v>
      </c>
      <c r="N141" s="43" t="s">
        <v>45</v>
      </c>
      <c r="O141" s="28">
        <v>1</v>
      </c>
      <c r="P141" s="18" t="s">
        <v>45</v>
      </c>
      <c r="Q141" s="28">
        <v>1</v>
      </c>
      <c r="R141" s="18" t="s">
        <v>45</v>
      </c>
      <c r="S141" s="28">
        <v>1</v>
      </c>
      <c r="T141" s="19" t="s">
        <v>301</v>
      </c>
      <c r="U141" s="20">
        <f t="shared" si="48"/>
        <v>5.9909999999999997</v>
      </c>
      <c r="V141" s="20">
        <v>5.9909999999999997</v>
      </c>
      <c r="W141" s="20"/>
      <c r="X141" s="20"/>
      <c r="Y141" s="21"/>
      <c r="Z141" s="29">
        <v>5.9909999999999997</v>
      </c>
      <c r="AA141" s="29">
        <v>0</v>
      </c>
      <c r="AB141" s="29">
        <v>0</v>
      </c>
      <c r="AC141" s="29">
        <f t="shared" si="77"/>
        <v>5.9909999999999997</v>
      </c>
      <c r="AD141" s="23"/>
      <c r="AE141" s="23"/>
      <c r="AF141" s="23"/>
      <c r="AG141" s="23"/>
      <c r="AH141" s="23"/>
      <c r="AI141" s="23"/>
      <c r="AJ141" s="23"/>
      <c r="AK141" s="30"/>
      <c r="AL141" s="24"/>
      <c r="AM141" s="24"/>
      <c r="AN141" s="24"/>
      <c r="AO141" s="24"/>
      <c r="AP141" s="44"/>
      <c r="AQ141" s="44"/>
      <c r="AR141" s="30">
        <v>5.9909999999999997</v>
      </c>
      <c r="AS141" s="24"/>
      <c r="AT141" s="30"/>
      <c r="AU141" s="24"/>
      <c r="AV141" s="30"/>
    </row>
    <row r="142" spans="1:48" s="25" customFormat="1" ht="36" customHeight="1" x14ac:dyDescent="0.3">
      <c r="A142" s="26">
        <v>134</v>
      </c>
      <c r="B142" s="26"/>
      <c r="C142" s="16" t="s">
        <v>302</v>
      </c>
      <c r="D142" s="19"/>
      <c r="E142" s="17"/>
      <c r="F142" s="18"/>
      <c r="G142" s="17">
        <v>42753</v>
      </c>
      <c r="H142" s="28">
        <v>1</v>
      </c>
      <c r="I142" s="18" t="s">
        <v>45</v>
      </c>
      <c r="J142" s="18" t="s">
        <v>45</v>
      </c>
      <c r="K142" s="18" t="s">
        <v>45</v>
      </c>
      <c r="L142" s="18" t="s">
        <v>45</v>
      </c>
      <c r="M142" s="43" t="s">
        <v>45</v>
      </c>
      <c r="N142" s="43" t="s">
        <v>45</v>
      </c>
      <c r="O142" s="28">
        <v>1</v>
      </c>
      <c r="P142" s="18" t="s">
        <v>45</v>
      </c>
      <c r="Q142" s="28">
        <v>1</v>
      </c>
      <c r="R142" s="18" t="s">
        <v>45</v>
      </c>
      <c r="S142" s="28">
        <v>1</v>
      </c>
      <c r="T142" s="19" t="s">
        <v>301</v>
      </c>
      <c r="U142" s="20">
        <f t="shared" si="48"/>
        <v>15.226000000000001</v>
      </c>
      <c r="V142" s="20">
        <v>15.226000000000001</v>
      </c>
      <c r="W142" s="20"/>
      <c r="X142" s="20"/>
      <c r="Y142" s="21"/>
      <c r="Z142" s="29">
        <v>15.2</v>
      </c>
      <c r="AA142" s="29">
        <v>0</v>
      </c>
      <c r="AB142" s="29">
        <v>0</v>
      </c>
      <c r="AC142" s="29">
        <f t="shared" si="77"/>
        <v>15.2</v>
      </c>
      <c r="AD142" s="23">
        <f t="shared" ref="AD142:AD143" si="78">50+(AC142-10)*5</f>
        <v>76</v>
      </c>
      <c r="AE142" s="23">
        <f t="shared" si="69"/>
        <v>76</v>
      </c>
      <c r="AF142" s="23">
        <f t="shared" si="70"/>
        <v>0</v>
      </c>
      <c r="AG142" s="23">
        <f t="shared" si="71"/>
        <v>0</v>
      </c>
      <c r="AH142" s="23">
        <f t="shared" si="72"/>
        <v>10.133333333333333</v>
      </c>
      <c r="AI142" s="23">
        <f t="shared" si="73"/>
        <v>5.0666666666666664</v>
      </c>
      <c r="AJ142" s="23">
        <f t="shared" si="74"/>
        <v>15.2</v>
      </c>
      <c r="AK142" s="30"/>
      <c r="AL142" s="24"/>
      <c r="AM142" s="24"/>
      <c r="AN142" s="24"/>
      <c r="AO142" s="24"/>
      <c r="AP142" s="44"/>
      <c r="AQ142" s="44"/>
      <c r="AR142" s="30">
        <v>15.226000000000001</v>
      </c>
      <c r="AS142" s="24"/>
      <c r="AT142" s="30"/>
      <c r="AU142" s="24"/>
      <c r="AV142" s="30"/>
    </row>
    <row r="143" spans="1:48" s="25" customFormat="1" ht="36.75" customHeight="1" x14ac:dyDescent="0.3">
      <c r="A143" s="26">
        <v>135</v>
      </c>
      <c r="B143" s="26"/>
      <c r="C143" s="16" t="s">
        <v>303</v>
      </c>
      <c r="D143" s="19"/>
      <c r="E143" s="17"/>
      <c r="F143" s="18"/>
      <c r="G143" s="17">
        <v>42753</v>
      </c>
      <c r="H143" s="28">
        <v>1</v>
      </c>
      <c r="I143" s="18" t="s">
        <v>45</v>
      </c>
      <c r="J143" s="18" t="s">
        <v>45</v>
      </c>
      <c r="K143" s="18" t="s">
        <v>45</v>
      </c>
      <c r="L143" s="18" t="s">
        <v>45</v>
      </c>
      <c r="M143" s="43" t="s">
        <v>45</v>
      </c>
      <c r="N143" s="43" t="s">
        <v>45</v>
      </c>
      <c r="O143" s="28">
        <v>1</v>
      </c>
      <c r="P143" s="18" t="s">
        <v>45</v>
      </c>
      <c r="Q143" s="28">
        <v>1</v>
      </c>
      <c r="R143" s="18" t="s">
        <v>45</v>
      </c>
      <c r="S143" s="28">
        <v>1</v>
      </c>
      <c r="T143" s="19" t="s">
        <v>301</v>
      </c>
      <c r="U143" s="20">
        <f t="shared" si="48"/>
        <v>13.651999999999999</v>
      </c>
      <c r="V143" s="20">
        <v>13.651999999999999</v>
      </c>
      <c r="W143" s="20"/>
      <c r="X143" s="20"/>
      <c r="Y143" s="21"/>
      <c r="Z143" s="29">
        <v>13.651999999999999</v>
      </c>
      <c r="AA143" s="29">
        <v>0</v>
      </c>
      <c r="AB143" s="29">
        <v>0</v>
      </c>
      <c r="AC143" s="29">
        <f t="shared" si="77"/>
        <v>13.651999999999999</v>
      </c>
      <c r="AD143" s="23">
        <f t="shared" si="78"/>
        <v>68.259999999999991</v>
      </c>
      <c r="AE143" s="23">
        <f t="shared" si="69"/>
        <v>68.259999999999991</v>
      </c>
      <c r="AF143" s="23">
        <f t="shared" si="70"/>
        <v>0</v>
      </c>
      <c r="AG143" s="23">
        <f t="shared" si="71"/>
        <v>0</v>
      </c>
      <c r="AH143" s="23">
        <f t="shared" si="72"/>
        <v>9.1013333333333328</v>
      </c>
      <c r="AI143" s="23">
        <f t="shared" si="73"/>
        <v>4.5506666666666664</v>
      </c>
      <c r="AJ143" s="23">
        <f t="shared" si="74"/>
        <v>13.651999999999997</v>
      </c>
      <c r="AK143" s="30"/>
      <c r="AL143" s="24"/>
      <c r="AM143" s="24"/>
      <c r="AN143" s="24"/>
      <c r="AO143" s="24"/>
      <c r="AP143" s="44"/>
      <c r="AQ143" s="44"/>
      <c r="AR143" s="30">
        <v>13.651999999999999</v>
      </c>
      <c r="AS143" s="24"/>
      <c r="AT143" s="30"/>
      <c r="AU143" s="24"/>
      <c r="AV143" s="30"/>
    </row>
    <row r="144" spans="1:48" s="25" customFormat="1" ht="35.25" customHeight="1" x14ac:dyDescent="0.3">
      <c r="A144" s="26">
        <v>136</v>
      </c>
      <c r="B144" s="26"/>
      <c r="C144" s="16" t="s">
        <v>304</v>
      </c>
      <c r="D144" s="19"/>
      <c r="E144" s="17"/>
      <c r="F144" s="18"/>
      <c r="G144" s="17">
        <v>42808</v>
      </c>
      <c r="H144" s="28">
        <v>1</v>
      </c>
      <c r="I144" s="18" t="s">
        <v>45</v>
      </c>
      <c r="J144" s="18" t="s">
        <v>45</v>
      </c>
      <c r="K144" s="18" t="s">
        <v>45</v>
      </c>
      <c r="L144" s="18" t="s">
        <v>45</v>
      </c>
      <c r="M144" s="43" t="s">
        <v>45</v>
      </c>
      <c r="N144" s="43" t="s">
        <v>45</v>
      </c>
      <c r="O144" s="28">
        <v>1</v>
      </c>
      <c r="P144" s="18" t="s">
        <v>45</v>
      </c>
      <c r="Q144" s="28">
        <v>1</v>
      </c>
      <c r="R144" s="18" t="s">
        <v>45</v>
      </c>
      <c r="S144" s="28">
        <v>1</v>
      </c>
      <c r="T144" s="19" t="s">
        <v>301</v>
      </c>
      <c r="U144" s="20">
        <f t="shared" si="48"/>
        <v>5.9</v>
      </c>
      <c r="V144" s="20">
        <v>5.9</v>
      </c>
      <c r="W144" s="20"/>
      <c r="X144" s="20"/>
      <c r="Y144" s="21"/>
      <c r="Z144" s="29">
        <v>5.9</v>
      </c>
      <c r="AA144" s="29">
        <v>0</v>
      </c>
      <c r="AB144" s="29">
        <v>0</v>
      </c>
      <c r="AC144" s="29">
        <f t="shared" si="77"/>
        <v>5.9</v>
      </c>
      <c r="AD144" s="23"/>
      <c r="AE144" s="23"/>
      <c r="AF144" s="23"/>
      <c r="AG144" s="23"/>
      <c r="AH144" s="23"/>
      <c r="AI144" s="23"/>
      <c r="AJ144" s="23"/>
      <c r="AK144" s="30"/>
      <c r="AL144" s="24"/>
      <c r="AM144" s="24"/>
      <c r="AN144" s="24"/>
      <c r="AO144" s="24"/>
      <c r="AP144" s="44"/>
      <c r="AQ144" s="44"/>
      <c r="AR144" s="30">
        <v>5.9</v>
      </c>
      <c r="AS144" s="24"/>
      <c r="AT144" s="30"/>
      <c r="AU144" s="24"/>
      <c r="AV144" s="30"/>
    </row>
    <row r="145" spans="1:48" s="25" customFormat="1" ht="38.25" customHeight="1" x14ac:dyDescent="0.3">
      <c r="A145" s="26">
        <v>137</v>
      </c>
      <c r="B145" s="26"/>
      <c r="C145" s="16" t="s">
        <v>305</v>
      </c>
      <c r="D145" s="19"/>
      <c r="E145" s="17"/>
      <c r="F145" s="18"/>
      <c r="G145" s="17">
        <v>42814</v>
      </c>
      <c r="H145" s="28">
        <v>1</v>
      </c>
      <c r="I145" s="28">
        <v>1</v>
      </c>
      <c r="J145" s="18" t="s">
        <v>45</v>
      </c>
      <c r="K145" s="28">
        <v>1</v>
      </c>
      <c r="L145" s="18" t="s">
        <v>45</v>
      </c>
      <c r="M145" s="43" t="s">
        <v>45</v>
      </c>
      <c r="N145" s="43" t="s">
        <v>45</v>
      </c>
      <c r="O145" s="28">
        <v>1</v>
      </c>
      <c r="P145" s="18" t="s">
        <v>45</v>
      </c>
      <c r="Q145" s="28">
        <v>1</v>
      </c>
      <c r="R145" s="18" t="s">
        <v>45</v>
      </c>
      <c r="S145" s="28">
        <v>1</v>
      </c>
      <c r="T145" s="19" t="s">
        <v>241</v>
      </c>
      <c r="U145" s="20">
        <f t="shared" si="48"/>
        <v>5.2750000000000004</v>
      </c>
      <c r="V145" s="20">
        <v>5.2750000000000004</v>
      </c>
      <c r="W145" s="20"/>
      <c r="X145" s="20"/>
      <c r="Y145" s="21"/>
      <c r="Z145" s="29">
        <v>5.2750000000000004</v>
      </c>
      <c r="AA145" s="29">
        <v>0</v>
      </c>
      <c r="AB145" s="29">
        <v>0</v>
      </c>
      <c r="AC145" s="29">
        <f t="shared" si="77"/>
        <v>5.2750000000000004</v>
      </c>
      <c r="AD145" s="23"/>
      <c r="AE145" s="23"/>
      <c r="AF145" s="23"/>
      <c r="AG145" s="23"/>
      <c r="AH145" s="23"/>
      <c r="AI145" s="23"/>
      <c r="AJ145" s="23"/>
      <c r="AK145" s="30"/>
      <c r="AL145" s="30"/>
      <c r="AM145" s="24"/>
      <c r="AN145" s="30"/>
      <c r="AO145" s="24"/>
      <c r="AP145" s="44"/>
      <c r="AQ145" s="44"/>
      <c r="AR145" s="30">
        <v>5.2750000000000004</v>
      </c>
      <c r="AS145" s="24"/>
      <c r="AT145" s="30"/>
      <c r="AU145" s="24"/>
      <c r="AV145" s="30"/>
    </row>
    <row r="146" spans="1:48" s="25" customFormat="1" ht="35.25" customHeight="1" x14ac:dyDescent="0.3">
      <c r="A146" s="26">
        <v>138</v>
      </c>
      <c r="B146" s="26"/>
      <c r="C146" s="16" t="s">
        <v>306</v>
      </c>
      <c r="D146" s="19"/>
      <c r="E146" s="17"/>
      <c r="F146" s="18"/>
      <c r="G146" s="17" t="s">
        <v>307</v>
      </c>
      <c r="H146" s="28">
        <v>1</v>
      </c>
      <c r="I146" s="28">
        <v>1</v>
      </c>
      <c r="J146" s="18" t="s">
        <v>45</v>
      </c>
      <c r="K146" s="28">
        <v>1</v>
      </c>
      <c r="L146" s="18" t="s">
        <v>45</v>
      </c>
      <c r="M146" s="43" t="s">
        <v>45</v>
      </c>
      <c r="N146" s="43" t="s">
        <v>45</v>
      </c>
      <c r="O146" s="28">
        <v>1</v>
      </c>
      <c r="P146" s="28">
        <v>1</v>
      </c>
      <c r="Q146" s="28">
        <v>1</v>
      </c>
      <c r="R146" s="18" t="s">
        <v>45</v>
      </c>
      <c r="S146" s="28">
        <v>1</v>
      </c>
      <c r="T146" s="19" t="s">
        <v>308</v>
      </c>
      <c r="U146" s="20">
        <f t="shared" si="48"/>
        <v>432.13499999999999</v>
      </c>
      <c r="V146" s="20">
        <v>432.13499999999999</v>
      </c>
      <c r="W146" s="20"/>
      <c r="X146" s="20"/>
      <c r="Y146" s="21"/>
      <c r="Z146" s="29">
        <v>432.1</v>
      </c>
      <c r="AA146" s="29">
        <v>0</v>
      </c>
      <c r="AB146" s="29">
        <v>0</v>
      </c>
      <c r="AC146" s="29">
        <f t="shared" si="77"/>
        <v>432.1</v>
      </c>
      <c r="AD146" s="23">
        <f t="shared" ref="AD146:AD148" si="79">280+(AC146-200)*0.1</f>
        <v>303.20999999999998</v>
      </c>
      <c r="AE146" s="23">
        <f t="shared" si="69"/>
        <v>303.20999999999998</v>
      </c>
      <c r="AF146" s="23">
        <f t="shared" si="70"/>
        <v>0</v>
      </c>
      <c r="AG146" s="23">
        <f t="shared" si="71"/>
        <v>0</v>
      </c>
      <c r="AH146" s="23">
        <f t="shared" si="72"/>
        <v>40.427999999999997</v>
      </c>
      <c r="AI146" s="23">
        <f t="shared" si="73"/>
        <v>20.213999999999999</v>
      </c>
      <c r="AJ146" s="23">
        <f t="shared" si="74"/>
        <v>60.641999999999996</v>
      </c>
      <c r="AK146" s="30"/>
      <c r="AL146" s="30"/>
      <c r="AM146" s="24"/>
      <c r="AN146" s="30"/>
      <c r="AO146" s="24"/>
      <c r="AP146" s="44"/>
      <c r="AQ146" s="44"/>
      <c r="AR146" s="30">
        <v>432.13499999999999</v>
      </c>
      <c r="AS146" s="30"/>
      <c r="AT146" s="30"/>
      <c r="AU146" s="24"/>
      <c r="AV146" s="30"/>
    </row>
    <row r="147" spans="1:48" s="25" customFormat="1" ht="56.25" customHeight="1" x14ac:dyDescent="0.3">
      <c r="A147" s="26">
        <v>139</v>
      </c>
      <c r="B147" s="26"/>
      <c r="C147" s="16" t="s">
        <v>235</v>
      </c>
      <c r="D147" s="19"/>
      <c r="E147" s="17"/>
      <c r="F147" s="18"/>
      <c r="G147" s="17" t="s">
        <v>309</v>
      </c>
      <c r="H147" s="28">
        <v>1</v>
      </c>
      <c r="I147" s="28">
        <v>1</v>
      </c>
      <c r="J147" s="28">
        <v>1</v>
      </c>
      <c r="K147" s="28">
        <v>1</v>
      </c>
      <c r="L147" s="18" t="s">
        <v>45</v>
      </c>
      <c r="M147" s="43" t="s">
        <v>45</v>
      </c>
      <c r="N147" s="43" t="s">
        <v>45</v>
      </c>
      <c r="O147" s="28">
        <v>1</v>
      </c>
      <c r="P147" s="28">
        <v>1</v>
      </c>
      <c r="Q147" s="28">
        <v>1</v>
      </c>
      <c r="R147" s="18" t="s">
        <v>45</v>
      </c>
      <c r="S147" s="28">
        <v>1</v>
      </c>
      <c r="T147" s="19" t="s">
        <v>156</v>
      </c>
      <c r="U147" s="20">
        <v>1718.1210000000001</v>
      </c>
      <c r="V147" s="20" t="s">
        <v>73</v>
      </c>
      <c r="W147" s="20" t="s">
        <v>73</v>
      </c>
      <c r="X147" s="20"/>
      <c r="Y147" s="21" t="s">
        <v>310</v>
      </c>
      <c r="Z147" s="50">
        <f>IF([19]Заяц_беляк!$M$5=0,"",[19]Заяц_беляк!$M$5)</f>
        <v>1621.73</v>
      </c>
      <c r="AA147" s="50">
        <f>IF([19]Заяц_беляк!$N$5=0,"",[19]Заяц_беляк!$N$5)</f>
        <v>134.72999999999999</v>
      </c>
      <c r="AB147" s="50">
        <f>IF([19]Заяц_беляк!$O$5=0,"",[19]Заяц_беляк!$O$5)</f>
        <v>6.6</v>
      </c>
      <c r="AC147" s="50">
        <f t="shared" si="77"/>
        <v>1763.06</v>
      </c>
      <c r="AD147" s="23">
        <f t="shared" si="79"/>
        <v>436.30600000000004</v>
      </c>
      <c r="AE147" s="23">
        <f t="shared" si="69"/>
        <v>401.33094130659202</v>
      </c>
      <c r="AF147" s="23">
        <f t="shared" si="70"/>
        <v>33.34175092169297</v>
      </c>
      <c r="AG147" s="23">
        <f t="shared" si="71"/>
        <v>1.6333077717150863</v>
      </c>
      <c r="AH147" s="23">
        <f t="shared" si="72"/>
        <v>58.174133333333337</v>
      </c>
      <c r="AI147" s="23">
        <f t="shared" si="73"/>
        <v>29.087066666666669</v>
      </c>
      <c r="AJ147" s="23">
        <f t="shared" si="74"/>
        <v>87.261200000000002</v>
      </c>
      <c r="AK147" s="30"/>
      <c r="AL147" s="30"/>
      <c r="AM147" s="30"/>
      <c r="AN147" s="30"/>
      <c r="AO147" s="24"/>
      <c r="AP147" s="44"/>
      <c r="AQ147" s="44"/>
      <c r="AR147" s="30">
        <v>1500</v>
      </c>
      <c r="AS147" s="30"/>
      <c r="AT147" s="30"/>
      <c r="AU147" s="24"/>
      <c r="AV147" s="30"/>
    </row>
    <row r="148" spans="1:48" s="42" customFormat="1" x14ac:dyDescent="0.3">
      <c r="A148" s="31"/>
      <c r="B148" s="31"/>
      <c r="C148" s="32" t="s">
        <v>52</v>
      </c>
      <c r="D148" s="33"/>
      <c r="E148" s="34"/>
      <c r="F148" s="35"/>
      <c r="G148" s="36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3"/>
      <c r="U148" s="76">
        <f>SUM(U140:U147)</f>
        <v>2341.6999999999998</v>
      </c>
      <c r="V148" s="76">
        <f t="shared" ref="V148:AC148" si="80">SUM(V140:V147)</f>
        <v>478.17899999999997</v>
      </c>
      <c r="W148" s="76">
        <f t="shared" si="80"/>
        <v>0</v>
      </c>
      <c r="X148" s="76">
        <f t="shared" si="80"/>
        <v>0</v>
      </c>
      <c r="Y148" s="77">
        <f t="shared" si="80"/>
        <v>2341.6999999999998</v>
      </c>
      <c r="Z148" s="39">
        <f t="shared" si="80"/>
        <v>2245.248</v>
      </c>
      <c r="AA148" s="39">
        <f t="shared" si="80"/>
        <v>134.72999999999999</v>
      </c>
      <c r="AB148" s="39">
        <f t="shared" si="80"/>
        <v>6.6</v>
      </c>
      <c r="AC148" s="39">
        <f t="shared" si="80"/>
        <v>2386.578</v>
      </c>
      <c r="AD148" s="40">
        <f t="shared" si="79"/>
        <v>498.65780000000001</v>
      </c>
      <c r="AE148" s="40">
        <f t="shared" si="69"/>
        <v>469.12794307766183</v>
      </c>
      <c r="AF148" s="40">
        <f t="shared" si="70"/>
        <v>28.150835796693006</v>
      </c>
      <c r="AG148" s="40">
        <f t="shared" si="71"/>
        <v>1.3790211256451705</v>
      </c>
      <c r="AH148" s="40">
        <f t="shared" si="72"/>
        <v>66.487706666666668</v>
      </c>
      <c r="AI148" s="40">
        <f t="shared" si="73"/>
        <v>33.243853333333334</v>
      </c>
      <c r="AJ148" s="40">
        <f t="shared" si="74"/>
        <v>99.731560000000002</v>
      </c>
      <c r="AK148" s="41"/>
      <c r="AL148" s="41"/>
      <c r="AM148" s="41"/>
      <c r="AN148" s="41"/>
      <c r="AO148" s="41"/>
      <c r="AP148" s="41"/>
      <c r="AQ148" s="41"/>
      <c r="AR148" s="41">
        <v>2051.5789999999997</v>
      </c>
      <c r="AS148" s="41"/>
      <c r="AT148" s="41"/>
      <c r="AU148" s="41"/>
      <c r="AV148" s="41"/>
    </row>
    <row r="149" spans="1:48" s="25" customFormat="1" ht="19.5" customHeight="1" collapsed="1" x14ac:dyDescent="0.3">
      <c r="A149" s="15">
        <v>24</v>
      </c>
      <c r="B149" s="15" t="s">
        <v>311</v>
      </c>
      <c r="C149" s="16" t="s">
        <v>43</v>
      </c>
      <c r="D149" s="19"/>
      <c r="E149" s="17"/>
      <c r="F149" s="18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9"/>
      <c r="U149" s="20">
        <v>119.8</v>
      </c>
      <c r="V149" s="20"/>
      <c r="W149" s="20"/>
      <c r="X149" s="20"/>
      <c r="Y149" s="21">
        <v>546.9</v>
      </c>
      <c r="Z149" s="22">
        <v>82.1</v>
      </c>
      <c r="AA149" s="22">
        <f>IF([20]Заяц_беляк!$N$5=0,"",[20]Заяц_беляк!$N$5)</f>
        <v>34.700000000000003</v>
      </c>
      <c r="AB149" s="22">
        <f>IF([20]Заяц_беляк!$O$5=0,"",[20]Заяц_беляк!$O$5)</f>
        <v>3</v>
      </c>
      <c r="AC149" s="22">
        <f t="shared" si="77"/>
        <v>119.8</v>
      </c>
      <c r="AD149" s="23">
        <f>160+(AC149-50)*0.8</f>
        <v>215.84</v>
      </c>
      <c r="AE149" s="23">
        <f t="shared" si="69"/>
        <v>147.91706176961603</v>
      </c>
      <c r="AF149" s="23">
        <f t="shared" si="70"/>
        <v>62.517929883138578</v>
      </c>
      <c r="AG149" s="23">
        <f t="shared" si="71"/>
        <v>5.4050083472454089</v>
      </c>
      <c r="AH149" s="23">
        <f t="shared" si="72"/>
        <v>28.778666666666666</v>
      </c>
      <c r="AI149" s="23">
        <f t="shared" si="73"/>
        <v>14.389333333333333</v>
      </c>
      <c r="AJ149" s="23">
        <f t="shared" si="74"/>
        <v>43.167999999999999</v>
      </c>
      <c r="AK149" s="24"/>
      <c r="AL149" s="24"/>
      <c r="AM149" s="24"/>
      <c r="AN149" s="24"/>
      <c r="AO149" s="24"/>
      <c r="AP149" s="24"/>
      <c r="AQ149" s="24"/>
      <c r="AR149" s="24">
        <v>100</v>
      </c>
      <c r="AS149" s="24"/>
      <c r="AT149" s="24"/>
      <c r="AU149" s="24"/>
      <c r="AV149" s="24"/>
    </row>
    <row r="150" spans="1:48" s="25" customFormat="1" ht="35.25" customHeight="1" x14ac:dyDescent="0.3">
      <c r="A150" s="26">
        <v>142</v>
      </c>
      <c r="B150" s="26"/>
      <c r="C150" s="16" t="s">
        <v>87</v>
      </c>
      <c r="D150" s="19" t="s">
        <v>312</v>
      </c>
      <c r="E150" s="17">
        <v>41746</v>
      </c>
      <c r="F150" s="18">
        <v>92</v>
      </c>
      <c r="G150" s="17"/>
      <c r="H150" s="28">
        <v>1</v>
      </c>
      <c r="I150" s="28">
        <v>1</v>
      </c>
      <c r="J150" s="28">
        <v>1</v>
      </c>
      <c r="K150" s="28">
        <v>1</v>
      </c>
      <c r="L150" s="28">
        <v>1</v>
      </c>
      <c r="M150" s="18" t="s">
        <v>45</v>
      </c>
      <c r="N150" s="18" t="s">
        <v>45</v>
      </c>
      <c r="O150" s="28">
        <v>1</v>
      </c>
      <c r="P150" s="28">
        <v>1</v>
      </c>
      <c r="Q150" s="28">
        <v>1</v>
      </c>
      <c r="R150" s="28">
        <v>1</v>
      </c>
      <c r="S150" s="28">
        <v>1</v>
      </c>
      <c r="T150" s="19" t="s">
        <v>63</v>
      </c>
      <c r="U150" s="20">
        <f t="shared" si="48"/>
        <v>239.83150000000001</v>
      </c>
      <c r="V150" s="20">
        <v>230.572</v>
      </c>
      <c r="W150" s="20">
        <v>9.2594999999999992</v>
      </c>
      <c r="X150" s="20"/>
      <c r="Y150" s="21" t="s">
        <v>313</v>
      </c>
      <c r="Z150" s="29">
        <v>230.572</v>
      </c>
      <c r="AA150" s="29">
        <v>9.2594999999999992</v>
      </c>
      <c r="AB150" s="29">
        <v>0</v>
      </c>
      <c r="AC150" s="29">
        <f t="shared" si="77"/>
        <v>239.83150000000001</v>
      </c>
      <c r="AD150" s="23">
        <f>280+(AC150-200)*0.1</f>
        <v>283.98315000000002</v>
      </c>
      <c r="AE150" s="23">
        <f t="shared" si="69"/>
        <v>273.01902736629677</v>
      </c>
      <c r="AF150" s="23">
        <f t="shared" si="70"/>
        <v>10.964122633703246</v>
      </c>
      <c r="AG150" s="23">
        <f t="shared" si="71"/>
        <v>0</v>
      </c>
      <c r="AH150" s="23">
        <f t="shared" si="72"/>
        <v>37.864420000000003</v>
      </c>
      <c r="AI150" s="23">
        <f t="shared" si="73"/>
        <v>18.932210000000001</v>
      </c>
      <c r="AJ150" s="23">
        <f t="shared" si="74"/>
        <v>56.796630000000007</v>
      </c>
      <c r="AK150" s="30"/>
      <c r="AL150" s="30"/>
      <c r="AM150" s="30"/>
      <c r="AN150" s="30"/>
      <c r="AO150" s="30"/>
      <c r="AP150" s="24"/>
      <c r="AQ150" s="24"/>
      <c r="AR150" s="30">
        <v>239.83150000000001</v>
      </c>
      <c r="AS150" s="30"/>
      <c r="AT150" s="30"/>
      <c r="AU150" s="30"/>
      <c r="AV150" s="30"/>
    </row>
    <row r="151" spans="1:48" s="25" customFormat="1" ht="37.5" customHeight="1" x14ac:dyDescent="0.3">
      <c r="A151" s="26">
        <v>143</v>
      </c>
      <c r="B151" s="26"/>
      <c r="C151" s="16" t="s">
        <v>314</v>
      </c>
      <c r="D151" s="66" t="s">
        <v>315</v>
      </c>
      <c r="E151" s="17"/>
      <c r="F151" s="67"/>
      <c r="G151" s="27">
        <v>41814</v>
      </c>
      <c r="H151" s="28">
        <v>1</v>
      </c>
      <c r="I151" s="28">
        <v>1</v>
      </c>
      <c r="J151" s="28">
        <v>1</v>
      </c>
      <c r="K151" s="28">
        <v>1</v>
      </c>
      <c r="L151" s="28">
        <v>1</v>
      </c>
      <c r="M151" s="18" t="s">
        <v>45</v>
      </c>
      <c r="N151" s="18" t="s">
        <v>45</v>
      </c>
      <c r="O151" s="28">
        <v>1</v>
      </c>
      <c r="P151" s="28">
        <v>1</v>
      </c>
      <c r="Q151" s="28">
        <v>1</v>
      </c>
      <c r="R151" s="28">
        <v>1</v>
      </c>
      <c r="S151" s="28">
        <v>1</v>
      </c>
      <c r="T151" s="19" t="s">
        <v>316</v>
      </c>
      <c r="U151" s="20">
        <v>139.0865</v>
      </c>
      <c r="V151" s="68"/>
      <c r="W151" s="68"/>
      <c r="X151" s="68"/>
      <c r="Y151" s="21"/>
      <c r="Z151" s="29">
        <f>IF([21]Заяц_беляк!$M$5=0,"",[21]Заяц_беляк!$M$5)</f>
        <v>99.8</v>
      </c>
      <c r="AA151" s="29">
        <v>38.880000000000003</v>
      </c>
      <c r="AB151" s="29">
        <f>IF([21]Заяц_беляк!$O$5=0,"",[21]Заяц_беляк!$O$5)</f>
        <v>0.4</v>
      </c>
      <c r="AC151" s="29">
        <f t="shared" si="77"/>
        <v>139.08000000000001</v>
      </c>
      <c r="AD151" s="23">
        <f>160+(AC151-50)*0.8</f>
        <v>231.26400000000001</v>
      </c>
      <c r="AE151" s="23">
        <f t="shared" si="69"/>
        <v>165.94871440897325</v>
      </c>
      <c r="AF151" s="23">
        <f t="shared" si="70"/>
        <v>64.650160483175156</v>
      </c>
      <c r="AG151" s="23">
        <f t="shared" si="71"/>
        <v>0.66512510785159629</v>
      </c>
      <c r="AH151" s="23">
        <f t="shared" si="72"/>
        <v>30.8352</v>
      </c>
      <c r="AI151" s="23">
        <f t="shared" si="73"/>
        <v>15.4176</v>
      </c>
      <c r="AJ151" s="23">
        <f t="shared" si="74"/>
        <v>46.252800000000001</v>
      </c>
      <c r="AK151" s="30"/>
      <c r="AL151" s="30"/>
      <c r="AM151" s="30"/>
      <c r="AN151" s="30"/>
      <c r="AO151" s="30"/>
      <c r="AP151" s="24"/>
      <c r="AQ151" s="24"/>
      <c r="AR151" s="30">
        <v>99.6</v>
      </c>
      <c r="AS151" s="30"/>
      <c r="AT151" s="30"/>
      <c r="AU151" s="30"/>
      <c r="AV151" s="30"/>
    </row>
    <row r="152" spans="1:48" s="25" customFormat="1" ht="39.75" customHeight="1" x14ac:dyDescent="0.3">
      <c r="A152" s="26"/>
      <c r="B152" s="26"/>
      <c r="C152" s="16" t="s">
        <v>123</v>
      </c>
      <c r="D152" s="19" t="s">
        <v>124</v>
      </c>
      <c r="E152" s="17" t="s">
        <v>317</v>
      </c>
      <c r="F152" s="18">
        <v>64</v>
      </c>
      <c r="G152" s="17"/>
      <c r="H152" s="28">
        <v>1</v>
      </c>
      <c r="I152" s="28">
        <v>1</v>
      </c>
      <c r="J152" s="28">
        <v>1</v>
      </c>
      <c r="K152" s="28">
        <v>1</v>
      </c>
      <c r="L152" s="28">
        <v>1</v>
      </c>
      <c r="M152" s="18" t="s">
        <v>45</v>
      </c>
      <c r="N152" s="18" t="s">
        <v>45</v>
      </c>
      <c r="O152" s="28">
        <v>1</v>
      </c>
      <c r="P152" s="28">
        <v>1</v>
      </c>
      <c r="Q152" s="28">
        <v>1</v>
      </c>
      <c r="R152" s="28">
        <v>1</v>
      </c>
      <c r="S152" s="28">
        <v>1</v>
      </c>
      <c r="T152" s="19" t="s">
        <v>63</v>
      </c>
      <c r="U152" s="20">
        <f t="shared" si="48"/>
        <v>7.8860000000000001</v>
      </c>
      <c r="V152" s="20">
        <v>7.8860000000000001</v>
      </c>
      <c r="W152" s="20"/>
      <c r="X152" s="20"/>
      <c r="Y152" s="21" t="s">
        <v>318</v>
      </c>
      <c r="Z152" s="29">
        <v>7.8860000000000001</v>
      </c>
      <c r="AA152" s="29">
        <v>0</v>
      </c>
      <c r="AB152" s="29">
        <v>0</v>
      </c>
      <c r="AC152" s="29">
        <f t="shared" si="77"/>
        <v>7.8860000000000001</v>
      </c>
      <c r="AD152" s="23"/>
      <c r="AE152" s="23"/>
      <c r="AF152" s="23"/>
      <c r="AG152" s="23"/>
      <c r="AH152" s="23"/>
      <c r="AI152" s="23"/>
      <c r="AJ152" s="23"/>
      <c r="AK152" s="30"/>
      <c r="AL152" s="30"/>
      <c r="AM152" s="30"/>
      <c r="AN152" s="30"/>
      <c r="AO152" s="30"/>
      <c r="AP152" s="24"/>
      <c r="AQ152" s="24"/>
      <c r="AR152" s="30">
        <v>7.8860000000000001</v>
      </c>
      <c r="AS152" s="30"/>
      <c r="AT152" s="30"/>
      <c r="AU152" s="30"/>
      <c r="AV152" s="30"/>
    </row>
    <row r="153" spans="1:48" s="25" customFormat="1" ht="39.75" customHeight="1" x14ac:dyDescent="0.3">
      <c r="A153" s="26"/>
      <c r="B153" s="26"/>
      <c r="C153" s="16" t="s">
        <v>126</v>
      </c>
      <c r="D153" s="19" t="s">
        <v>319</v>
      </c>
      <c r="E153" s="17">
        <v>40863</v>
      </c>
      <c r="F153" s="18">
        <v>27</v>
      </c>
      <c r="G153" s="17"/>
      <c r="H153" s="28">
        <v>1</v>
      </c>
      <c r="I153" s="28">
        <v>1</v>
      </c>
      <c r="J153" s="28">
        <v>1</v>
      </c>
      <c r="K153" s="28">
        <v>1</v>
      </c>
      <c r="L153" s="18" t="s">
        <v>45</v>
      </c>
      <c r="M153" s="18" t="s">
        <v>45</v>
      </c>
      <c r="N153" s="18" t="s">
        <v>45</v>
      </c>
      <c r="O153" s="28">
        <v>1</v>
      </c>
      <c r="P153" s="28">
        <v>1</v>
      </c>
      <c r="Q153" s="28">
        <v>1</v>
      </c>
      <c r="R153" s="28">
        <v>1</v>
      </c>
      <c r="S153" s="18" t="s">
        <v>45</v>
      </c>
      <c r="T153" s="19" t="s">
        <v>101</v>
      </c>
      <c r="U153" s="20">
        <f t="shared" si="48"/>
        <v>20.933</v>
      </c>
      <c r="V153" s="20">
        <v>20.933</v>
      </c>
      <c r="W153" s="20"/>
      <c r="X153" s="20"/>
      <c r="Y153" s="21" t="s">
        <v>320</v>
      </c>
      <c r="Z153" s="29">
        <v>20.933</v>
      </c>
      <c r="AA153" s="29">
        <v>0</v>
      </c>
      <c r="AB153" s="29">
        <v>0</v>
      </c>
      <c r="AC153" s="29">
        <f t="shared" si="77"/>
        <v>20.933</v>
      </c>
      <c r="AD153" s="23">
        <f>100+(AC153-20)*2</f>
        <v>101.866</v>
      </c>
      <c r="AE153" s="23">
        <f t="shared" si="69"/>
        <v>101.86600000000001</v>
      </c>
      <c r="AF153" s="23">
        <f t="shared" si="70"/>
        <v>0</v>
      </c>
      <c r="AG153" s="23">
        <f t="shared" si="71"/>
        <v>0</v>
      </c>
      <c r="AH153" s="23">
        <f t="shared" si="72"/>
        <v>13.582133333333333</v>
      </c>
      <c r="AI153" s="23">
        <f t="shared" si="73"/>
        <v>6.7910666666666666</v>
      </c>
      <c r="AJ153" s="23">
        <f t="shared" si="74"/>
        <v>20.373200000000001</v>
      </c>
      <c r="AK153" s="30"/>
      <c r="AL153" s="30"/>
      <c r="AM153" s="30"/>
      <c r="AN153" s="30"/>
      <c r="AO153" s="24"/>
      <c r="AP153" s="24"/>
      <c r="AQ153" s="24"/>
      <c r="AR153" s="30">
        <v>20.933</v>
      </c>
      <c r="AS153" s="30"/>
      <c r="AT153" s="30"/>
      <c r="AU153" s="30"/>
      <c r="AV153" s="24"/>
    </row>
    <row r="154" spans="1:48" s="25" customFormat="1" ht="38.25" customHeight="1" collapsed="1" x14ac:dyDescent="0.3">
      <c r="A154" s="26">
        <v>145</v>
      </c>
      <c r="B154" s="26"/>
      <c r="C154" s="16" t="s">
        <v>321</v>
      </c>
      <c r="D154" s="19" t="s">
        <v>322</v>
      </c>
      <c r="E154" s="17" t="s">
        <v>323</v>
      </c>
      <c r="F154" s="18">
        <v>47</v>
      </c>
      <c r="G154" s="17"/>
      <c r="H154" s="28">
        <v>1</v>
      </c>
      <c r="I154" s="28">
        <v>1</v>
      </c>
      <c r="J154" s="28">
        <v>1</v>
      </c>
      <c r="K154" s="28">
        <v>1</v>
      </c>
      <c r="L154" s="18" t="s">
        <v>45</v>
      </c>
      <c r="M154" s="18" t="s">
        <v>45</v>
      </c>
      <c r="N154" s="18" t="s">
        <v>45</v>
      </c>
      <c r="O154" s="28">
        <v>1</v>
      </c>
      <c r="P154" s="28">
        <v>1</v>
      </c>
      <c r="Q154" s="28">
        <v>1</v>
      </c>
      <c r="R154" s="18" t="s">
        <v>45</v>
      </c>
      <c r="S154" s="28">
        <v>1</v>
      </c>
      <c r="T154" s="19" t="s">
        <v>156</v>
      </c>
      <c r="U154" s="20">
        <f t="shared" si="48"/>
        <v>19.318999999999999</v>
      </c>
      <c r="V154" s="20">
        <v>13.459</v>
      </c>
      <c r="W154" s="20">
        <v>5.5590000000000002</v>
      </c>
      <c r="X154" s="20">
        <v>0.30099999999999999</v>
      </c>
      <c r="Y154" s="21" t="s">
        <v>136</v>
      </c>
      <c r="Z154" s="22">
        <v>13.76</v>
      </c>
      <c r="AA154" s="22">
        <v>5.5590000000000002</v>
      </c>
      <c r="AB154" s="22">
        <v>0</v>
      </c>
      <c r="AC154" s="22">
        <f t="shared" si="77"/>
        <v>19.318999999999999</v>
      </c>
      <c r="AD154" s="23">
        <f>50+(AC154-10)*5</f>
        <v>96.594999999999999</v>
      </c>
      <c r="AE154" s="23">
        <f t="shared" si="69"/>
        <v>68.8</v>
      </c>
      <c r="AF154" s="23">
        <f t="shared" si="70"/>
        <v>27.794999999999998</v>
      </c>
      <c r="AG154" s="23">
        <f t="shared" si="71"/>
        <v>0</v>
      </c>
      <c r="AH154" s="23">
        <f t="shared" si="72"/>
        <v>12.879333333333333</v>
      </c>
      <c r="AI154" s="23">
        <f t="shared" si="73"/>
        <v>6.4396666666666667</v>
      </c>
      <c r="AJ154" s="23">
        <f t="shared" si="74"/>
        <v>19.318999999999999</v>
      </c>
      <c r="AK154" s="30"/>
      <c r="AL154" s="30"/>
      <c r="AM154" s="30"/>
      <c r="AN154" s="30"/>
      <c r="AO154" s="24"/>
      <c r="AP154" s="24"/>
      <c r="AQ154" s="24"/>
      <c r="AR154" s="30">
        <v>19.318999999999999</v>
      </c>
      <c r="AS154" s="30"/>
      <c r="AT154" s="30"/>
      <c r="AU154" s="24"/>
      <c r="AV154" s="30"/>
    </row>
    <row r="155" spans="1:48" s="42" customFormat="1" x14ac:dyDescent="0.3">
      <c r="A155" s="31"/>
      <c r="B155" s="31"/>
      <c r="C155" s="32" t="s">
        <v>52</v>
      </c>
      <c r="D155" s="33"/>
      <c r="E155" s="34"/>
      <c r="F155" s="35"/>
      <c r="G155" s="36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3"/>
      <c r="U155" s="76">
        <f>SUM(U149:U154)</f>
        <v>546.85599999999999</v>
      </c>
      <c r="V155" s="76">
        <f t="shared" ref="V155:AC155" si="81">SUM(V149:V154)</f>
        <v>272.85000000000002</v>
      </c>
      <c r="W155" s="76">
        <f t="shared" si="81"/>
        <v>14.8185</v>
      </c>
      <c r="X155" s="76">
        <f t="shared" si="81"/>
        <v>0.30099999999999999</v>
      </c>
      <c r="Y155" s="77">
        <f t="shared" si="81"/>
        <v>546.9</v>
      </c>
      <c r="Z155" s="39">
        <f t="shared" si="81"/>
        <v>455.05100000000004</v>
      </c>
      <c r="AA155" s="39">
        <f t="shared" si="81"/>
        <v>88.398500000000013</v>
      </c>
      <c r="AB155" s="39">
        <f t="shared" si="81"/>
        <v>3.4</v>
      </c>
      <c r="AC155" s="39">
        <f t="shared" si="81"/>
        <v>546.84950000000003</v>
      </c>
      <c r="AD155" s="40">
        <f>280+(AC155-200)*0.1</f>
        <v>314.68495000000001</v>
      </c>
      <c r="AE155" s="40">
        <f t="shared" si="69"/>
        <v>261.85943515071335</v>
      </c>
      <c r="AF155" s="40">
        <f t="shared" si="70"/>
        <v>50.868982329827503</v>
      </c>
      <c r="AG155" s="40">
        <f t="shared" si="71"/>
        <v>1.9565325194591932</v>
      </c>
      <c r="AH155" s="40">
        <f t="shared" si="72"/>
        <v>41.957993333333334</v>
      </c>
      <c r="AI155" s="40">
        <f t="shared" si="73"/>
        <v>20.978996666666667</v>
      </c>
      <c r="AJ155" s="40">
        <f t="shared" si="74"/>
        <v>62.936990000000002</v>
      </c>
      <c r="AK155" s="41"/>
      <c r="AL155" s="41"/>
      <c r="AM155" s="41"/>
      <c r="AN155" s="41"/>
      <c r="AO155" s="41"/>
      <c r="AP155" s="41"/>
      <c r="AQ155" s="41"/>
      <c r="AR155" s="41">
        <v>487.56950000000006</v>
      </c>
      <c r="AS155" s="41"/>
      <c r="AT155" s="41"/>
      <c r="AU155" s="41"/>
      <c r="AV155" s="41"/>
    </row>
    <row r="156" spans="1:48" s="25" customFormat="1" ht="20.25" customHeight="1" x14ac:dyDescent="0.3">
      <c r="A156" s="15">
        <v>25</v>
      </c>
      <c r="B156" s="15" t="s">
        <v>324</v>
      </c>
      <c r="C156" s="70" t="s">
        <v>43</v>
      </c>
      <c r="D156" s="19"/>
      <c r="E156" s="17"/>
      <c r="F156" s="18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9"/>
      <c r="U156" s="20">
        <v>0</v>
      </c>
      <c r="V156" s="20"/>
      <c r="W156" s="20"/>
      <c r="X156" s="20"/>
      <c r="Y156" s="21">
        <v>245</v>
      </c>
      <c r="Z156" s="81">
        <v>0</v>
      </c>
      <c r="AA156" s="29">
        <v>0</v>
      </c>
      <c r="AB156" s="82">
        <v>0</v>
      </c>
      <c r="AC156" s="83">
        <v>0</v>
      </c>
      <c r="AD156" s="84"/>
      <c r="AE156" s="23"/>
      <c r="AF156" s="23"/>
      <c r="AG156" s="23"/>
      <c r="AH156" s="23"/>
      <c r="AI156" s="23"/>
      <c r="AJ156" s="23"/>
      <c r="AK156" s="24"/>
      <c r="AL156" s="24"/>
      <c r="AM156" s="24"/>
      <c r="AN156" s="24"/>
      <c r="AO156" s="24"/>
      <c r="AP156" s="24"/>
      <c r="AQ156" s="24"/>
      <c r="AR156" s="24">
        <v>0</v>
      </c>
      <c r="AS156" s="24"/>
      <c r="AT156" s="24"/>
      <c r="AU156" s="24"/>
      <c r="AV156" s="24"/>
    </row>
    <row r="157" spans="1:48" s="72" customFormat="1" ht="38.25" customHeight="1" x14ac:dyDescent="0.25">
      <c r="A157" s="26"/>
      <c r="B157" s="26"/>
      <c r="C157" s="70" t="s">
        <v>237</v>
      </c>
      <c r="D157" s="19" t="s">
        <v>238</v>
      </c>
      <c r="E157" s="17">
        <v>41590</v>
      </c>
      <c r="F157" s="18">
        <v>75</v>
      </c>
      <c r="G157" s="17">
        <v>42422</v>
      </c>
      <c r="H157" s="28">
        <v>1</v>
      </c>
      <c r="I157" s="28">
        <v>1</v>
      </c>
      <c r="J157" s="28">
        <v>1</v>
      </c>
      <c r="K157" s="18" t="s">
        <v>45</v>
      </c>
      <c r="L157" s="28">
        <v>1</v>
      </c>
      <c r="M157" s="18" t="s">
        <v>45</v>
      </c>
      <c r="N157" s="18" t="s">
        <v>45</v>
      </c>
      <c r="O157" s="28">
        <v>1</v>
      </c>
      <c r="P157" s="28">
        <v>1</v>
      </c>
      <c r="Q157" s="28">
        <v>1</v>
      </c>
      <c r="R157" s="28">
        <v>1</v>
      </c>
      <c r="S157" s="28">
        <v>1</v>
      </c>
      <c r="T157" s="19" t="s">
        <v>325</v>
      </c>
      <c r="U157" s="20">
        <f t="shared" si="48"/>
        <v>245.249</v>
      </c>
      <c r="V157" s="20">
        <v>75.075999999999993</v>
      </c>
      <c r="W157" s="20">
        <v>170.173</v>
      </c>
      <c r="X157" s="20"/>
      <c r="Y157" s="21"/>
      <c r="Z157" s="85">
        <v>75.075999999999993</v>
      </c>
      <c r="AA157" s="48">
        <v>170.173</v>
      </c>
      <c r="AB157" s="86">
        <v>0</v>
      </c>
      <c r="AC157" s="48">
        <f t="shared" si="77"/>
        <v>245.249</v>
      </c>
      <c r="AD157" s="23">
        <f t="shared" ref="AD157:AD161" si="82">280+(AC157-200)*0.1</f>
        <v>284.5249</v>
      </c>
      <c r="AE157" s="23">
        <f t="shared" si="69"/>
        <v>87.099198742502523</v>
      </c>
      <c r="AF157" s="23">
        <f t="shared" si="70"/>
        <v>197.42570125749751</v>
      </c>
      <c r="AG157" s="23">
        <f t="shared" si="71"/>
        <v>0</v>
      </c>
      <c r="AH157" s="23">
        <f t="shared" si="72"/>
        <v>37.936653333333332</v>
      </c>
      <c r="AI157" s="23">
        <f t="shared" si="73"/>
        <v>18.968326666666666</v>
      </c>
      <c r="AJ157" s="23">
        <f t="shared" si="74"/>
        <v>56.904980000000002</v>
      </c>
      <c r="AK157" s="30"/>
      <c r="AL157" s="30"/>
      <c r="AM157" s="30"/>
      <c r="AN157" s="24"/>
      <c r="AO157" s="30"/>
      <c r="AP157" s="24"/>
      <c r="AQ157" s="24"/>
      <c r="AR157" s="30">
        <v>0</v>
      </c>
      <c r="AS157" s="30"/>
      <c r="AT157" s="30"/>
      <c r="AU157" s="30"/>
      <c r="AV157" s="30"/>
    </row>
    <row r="158" spans="1:48" s="42" customFormat="1" x14ac:dyDescent="0.3">
      <c r="A158" s="31"/>
      <c r="B158" s="31"/>
      <c r="C158" s="32" t="s">
        <v>52</v>
      </c>
      <c r="D158" s="33"/>
      <c r="E158" s="34"/>
      <c r="F158" s="35"/>
      <c r="G158" s="36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3"/>
      <c r="U158" s="76">
        <f>SUM(U156:U157)</f>
        <v>245.249</v>
      </c>
      <c r="V158" s="76">
        <f t="shared" ref="V158:AC158" si="83">SUM(V156:V157)</f>
        <v>75.075999999999993</v>
      </c>
      <c r="W158" s="76">
        <f t="shared" si="83"/>
        <v>170.173</v>
      </c>
      <c r="X158" s="76">
        <f t="shared" si="83"/>
        <v>0</v>
      </c>
      <c r="Y158" s="77">
        <f t="shared" si="83"/>
        <v>245</v>
      </c>
      <c r="Z158" s="39">
        <f t="shared" si="83"/>
        <v>75.075999999999993</v>
      </c>
      <c r="AA158" s="39">
        <f t="shared" si="83"/>
        <v>170.173</v>
      </c>
      <c r="AB158" s="39">
        <f t="shared" si="83"/>
        <v>0</v>
      </c>
      <c r="AC158" s="39">
        <f t="shared" si="83"/>
        <v>245.249</v>
      </c>
      <c r="AD158" s="40">
        <f t="shared" si="82"/>
        <v>284.5249</v>
      </c>
      <c r="AE158" s="40">
        <f t="shared" si="69"/>
        <v>87.099198742502523</v>
      </c>
      <c r="AF158" s="40">
        <f t="shared" si="70"/>
        <v>197.42570125749751</v>
      </c>
      <c r="AG158" s="40">
        <f t="shared" si="71"/>
        <v>0</v>
      </c>
      <c r="AH158" s="40">
        <f t="shared" si="72"/>
        <v>37.936653333333332</v>
      </c>
      <c r="AI158" s="40">
        <f t="shared" si="73"/>
        <v>18.968326666666666</v>
      </c>
      <c r="AJ158" s="40">
        <f t="shared" si="74"/>
        <v>56.904980000000002</v>
      </c>
      <c r="AK158" s="41"/>
      <c r="AL158" s="41"/>
      <c r="AM158" s="41"/>
      <c r="AN158" s="41"/>
      <c r="AO158" s="41"/>
      <c r="AP158" s="41"/>
      <c r="AQ158" s="41"/>
      <c r="AR158" s="41">
        <v>0</v>
      </c>
      <c r="AS158" s="41"/>
      <c r="AT158" s="41"/>
      <c r="AU158" s="41"/>
      <c r="AV158" s="41"/>
    </row>
    <row r="159" spans="1:48" s="72" customFormat="1" ht="19.5" customHeight="1" x14ac:dyDescent="0.25">
      <c r="A159" s="15">
        <v>26</v>
      </c>
      <c r="B159" s="15" t="s">
        <v>326</v>
      </c>
      <c r="C159" s="70" t="s">
        <v>43</v>
      </c>
      <c r="D159" s="19"/>
      <c r="E159" s="71"/>
      <c r="F159" s="18"/>
      <c r="G159" s="17"/>
      <c r="H159" s="18"/>
      <c r="I159" s="18"/>
      <c r="J159" s="18"/>
      <c r="K159" s="18"/>
      <c r="L159" s="18"/>
      <c r="M159" s="43"/>
      <c r="N159" s="18"/>
      <c r="O159" s="18"/>
      <c r="P159" s="18"/>
      <c r="Q159" s="18"/>
      <c r="R159" s="18"/>
      <c r="S159" s="18"/>
      <c r="T159" s="19"/>
      <c r="U159" s="20">
        <v>1312.9</v>
      </c>
      <c r="V159" s="20"/>
      <c r="W159" s="20"/>
      <c r="X159" s="20"/>
      <c r="Y159" s="21">
        <v>1581.7</v>
      </c>
      <c r="Z159" s="48">
        <v>1312.9</v>
      </c>
      <c r="AA159" s="48">
        <v>0</v>
      </c>
      <c r="AB159" s="48">
        <v>0</v>
      </c>
      <c r="AC159" s="48">
        <f t="shared" si="77"/>
        <v>1312.9</v>
      </c>
      <c r="AD159" s="23">
        <f t="shared" si="82"/>
        <v>391.29</v>
      </c>
      <c r="AE159" s="23">
        <f t="shared" si="69"/>
        <v>391.29</v>
      </c>
      <c r="AF159" s="23">
        <f t="shared" si="70"/>
        <v>0</v>
      </c>
      <c r="AG159" s="23">
        <f t="shared" si="71"/>
        <v>0</v>
      </c>
      <c r="AH159" s="23">
        <f t="shared" si="72"/>
        <v>52.172000000000004</v>
      </c>
      <c r="AI159" s="23">
        <f t="shared" si="73"/>
        <v>26.086000000000002</v>
      </c>
      <c r="AJ159" s="23">
        <f t="shared" si="74"/>
        <v>78.25800000000001</v>
      </c>
      <c r="AK159" s="24"/>
      <c r="AL159" s="24"/>
      <c r="AM159" s="24"/>
      <c r="AN159" s="24"/>
      <c r="AO159" s="24"/>
      <c r="AP159" s="44"/>
      <c r="AQ159" s="24"/>
      <c r="AR159" s="24">
        <v>1312.9</v>
      </c>
      <c r="AS159" s="24"/>
      <c r="AT159" s="24"/>
      <c r="AU159" s="24"/>
      <c r="AV159" s="24"/>
    </row>
    <row r="160" spans="1:48" s="72" customFormat="1" ht="37.5" customHeight="1" x14ac:dyDescent="0.3">
      <c r="A160" s="26">
        <v>151</v>
      </c>
      <c r="B160" s="26"/>
      <c r="C160" s="16" t="s">
        <v>49</v>
      </c>
      <c r="D160" s="19" t="s">
        <v>327</v>
      </c>
      <c r="E160" s="17">
        <v>40682</v>
      </c>
      <c r="F160" s="18">
        <v>11</v>
      </c>
      <c r="G160" s="17"/>
      <c r="H160" s="28">
        <v>1</v>
      </c>
      <c r="I160" s="28">
        <v>1</v>
      </c>
      <c r="J160" s="28">
        <v>1</v>
      </c>
      <c r="K160" s="28">
        <v>1</v>
      </c>
      <c r="L160" s="28">
        <v>1</v>
      </c>
      <c r="M160" s="43" t="s">
        <v>45</v>
      </c>
      <c r="N160" s="18" t="s">
        <v>45</v>
      </c>
      <c r="O160" s="28">
        <v>1</v>
      </c>
      <c r="P160" s="28">
        <v>1</v>
      </c>
      <c r="Q160" s="28">
        <v>1</v>
      </c>
      <c r="R160" s="28">
        <v>1</v>
      </c>
      <c r="S160" s="28">
        <v>1</v>
      </c>
      <c r="T160" s="19" t="s">
        <v>63</v>
      </c>
      <c r="U160" s="20">
        <f t="shared" si="48"/>
        <v>268.77999999999997</v>
      </c>
      <c r="V160" s="20">
        <v>267.2</v>
      </c>
      <c r="W160" s="20">
        <v>0</v>
      </c>
      <c r="X160" s="20">
        <v>1.58</v>
      </c>
      <c r="Y160" s="21" t="s">
        <v>328</v>
      </c>
      <c r="Z160" s="50">
        <v>265.23</v>
      </c>
      <c r="AA160" s="50">
        <v>1.83</v>
      </c>
      <c r="AB160" s="50">
        <v>1.72</v>
      </c>
      <c r="AC160" s="50">
        <f t="shared" si="77"/>
        <v>268.78000000000003</v>
      </c>
      <c r="AD160" s="23">
        <f t="shared" si="82"/>
        <v>286.87799999999999</v>
      </c>
      <c r="AE160" s="23">
        <f t="shared" si="69"/>
        <v>283.08896472951852</v>
      </c>
      <c r="AF160" s="23">
        <f t="shared" si="70"/>
        <v>1.9532209985862039</v>
      </c>
      <c r="AG160" s="23">
        <f t="shared" si="71"/>
        <v>1.8358142718952299</v>
      </c>
      <c r="AH160" s="23">
        <f t="shared" si="72"/>
        <v>38.250399999999999</v>
      </c>
      <c r="AI160" s="23">
        <f t="shared" si="73"/>
        <v>19.1252</v>
      </c>
      <c r="AJ160" s="23">
        <f t="shared" si="74"/>
        <v>57.375599999999999</v>
      </c>
      <c r="AK160" s="30"/>
      <c r="AL160" s="30"/>
      <c r="AM160" s="30"/>
      <c r="AN160" s="30"/>
      <c r="AO160" s="30"/>
      <c r="AP160" s="44"/>
      <c r="AQ160" s="24"/>
      <c r="AR160" s="30">
        <v>266</v>
      </c>
      <c r="AS160" s="30"/>
      <c r="AT160" s="30"/>
      <c r="AU160" s="30"/>
      <c r="AV160" s="30"/>
    </row>
    <row r="161" spans="1:48" s="42" customFormat="1" x14ac:dyDescent="0.3">
      <c r="A161" s="31"/>
      <c r="B161" s="31"/>
      <c r="C161" s="32" t="s">
        <v>52</v>
      </c>
      <c r="D161" s="33"/>
      <c r="E161" s="34"/>
      <c r="F161" s="35"/>
      <c r="G161" s="36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3"/>
      <c r="U161" s="76">
        <f>SUM(U159:U160)</f>
        <v>1581.68</v>
      </c>
      <c r="V161" s="76">
        <f t="shared" ref="V161:AC161" si="84">SUM(V159:V160)</f>
        <v>267.2</v>
      </c>
      <c r="W161" s="76">
        <f t="shared" si="84"/>
        <v>0</v>
      </c>
      <c r="X161" s="76">
        <f t="shared" si="84"/>
        <v>1.58</v>
      </c>
      <c r="Y161" s="77">
        <f t="shared" si="84"/>
        <v>1581.7</v>
      </c>
      <c r="Z161" s="39">
        <f t="shared" si="84"/>
        <v>1578.13</v>
      </c>
      <c r="AA161" s="39">
        <f t="shared" si="84"/>
        <v>1.83</v>
      </c>
      <c r="AB161" s="39">
        <f t="shared" si="84"/>
        <v>1.72</v>
      </c>
      <c r="AC161" s="39">
        <f t="shared" si="84"/>
        <v>1581.68</v>
      </c>
      <c r="AD161" s="40">
        <f t="shared" si="82"/>
        <v>418.16800000000001</v>
      </c>
      <c r="AE161" s="40">
        <f t="shared" si="69"/>
        <v>417.22944327550454</v>
      </c>
      <c r="AF161" s="40">
        <f t="shared" si="70"/>
        <v>0.4838193819230186</v>
      </c>
      <c r="AG161" s="40">
        <f t="shared" si="71"/>
        <v>0.45473734257245457</v>
      </c>
      <c r="AH161" s="40">
        <f t="shared" si="72"/>
        <v>55.755733333333332</v>
      </c>
      <c r="AI161" s="40">
        <f t="shared" si="73"/>
        <v>27.877866666666666</v>
      </c>
      <c r="AJ161" s="40">
        <f t="shared" si="74"/>
        <v>83.633600000000001</v>
      </c>
      <c r="AK161" s="41"/>
      <c r="AL161" s="41"/>
      <c r="AM161" s="41"/>
      <c r="AN161" s="41"/>
      <c r="AO161" s="41"/>
      <c r="AP161" s="41"/>
      <c r="AQ161" s="41"/>
      <c r="AR161" s="41">
        <v>1578.9</v>
      </c>
      <c r="AS161" s="41"/>
      <c r="AT161" s="41"/>
      <c r="AU161" s="41"/>
      <c r="AV161" s="41"/>
    </row>
    <row r="162" spans="1:48" s="72" customFormat="1" ht="19.5" customHeight="1" x14ac:dyDescent="0.25">
      <c r="A162" s="15">
        <v>27</v>
      </c>
      <c r="B162" s="15" t="s">
        <v>329</v>
      </c>
      <c r="C162" s="70" t="s">
        <v>43</v>
      </c>
      <c r="D162" s="19"/>
      <c r="E162" s="17"/>
      <c r="F162" s="18"/>
      <c r="G162" s="17"/>
      <c r="H162" s="43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9"/>
      <c r="U162" s="20">
        <v>160.19999999999999</v>
      </c>
      <c r="V162" s="20"/>
      <c r="W162" s="20"/>
      <c r="X162" s="20"/>
      <c r="Y162" s="21">
        <v>342.7</v>
      </c>
      <c r="Z162" s="48">
        <v>0</v>
      </c>
      <c r="AA162" s="48">
        <v>160.19999999999999</v>
      </c>
      <c r="AB162" s="48">
        <v>0</v>
      </c>
      <c r="AC162" s="48">
        <f t="shared" si="77"/>
        <v>160.19999999999999</v>
      </c>
      <c r="AD162" s="23">
        <f t="shared" ref="AD162:AD163" si="85">160+(AC162-50)*0.8</f>
        <v>248.16</v>
      </c>
      <c r="AE162" s="23">
        <f t="shared" si="69"/>
        <v>0</v>
      </c>
      <c r="AF162" s="23">
        <f t="shared" si="70"/>
        <v>248.16</v>
      </c>
      <c r="AG162" s="23">
        <f t="shared" si="71"/>
        <v>0</v>
      </c>
      <c r="AH162" s="23">
        <f t="shared" si="72"/>
        <v>33.088000000000001</v>
      </c>
      <c r="AI162" s="23">
        <f t="shared" si="73"/>
        <v>16.544</v>
      </c>
      <c r="AJ162" s="23">
        <f t="shared" si="74"/>
        <v>49.631999999999998</v>
      </c>
      <c r="AK162" s="44"/>
      <c r="AL162" s="24"/>
      <c r="AM162" s="24"/>
      <c r="AN162" s="24"/>
      <c r="AO162" s="24"/>
      <c r="AP162" s="24"/>
      <c r="AQ162" s="24"/>
      <c r="AR162" s="24">
        <v>0</v>
      </c>
      <c r="AS162" s="24"/>
      <c r="AT162" s="24"/>
      <c r="AU162" s="24"/>
      <c r="AV162" s="24"/>
    </row>
    <row r="163" spans="1:48" s="72" customFormat="1" ht="57" customHeight="1" x14ac:dyDescent="0.3">
      <c r="A163" s="26"/>
      <c r="B163" s="26"/>
      <c r="C163" s="16" t="s">
        <v>330</v>
      </c>
      <c r="D163" s="19" t="s">
        <v>331</v>
      </c>
      <c r="E163" s="17"/>
      <c r="F163" s="18"/>
      <c r="G163" s="17">
        <v>42401</v>
      </c>
      <c r="H163" s="43">
        <v>1</v>
      </c>
      <c r="I163" s="18" t="s">
        <v>45</v>
      </c>
      <c r="J163" s="28">
        <v>1</v>
      </c>
      <c r="K163" s="18" t="s">
        <v>45</v>
      </c>
      <c r="L163" s="18" t="s">
        <v>45</v>
      </c>
      <c r="M163" s="18" t="s">
        <v>45</v>
      </c>
      <c r="N163" s="18" t="s">
        <v>45</v>
      </c>
      <c r="O163" s="18" t="s">
        <v>45</v>
      </c>
      <c r="P163" s="18" t="s">
        <v>45</v>
      </c>
      <c r="Q163" s="18" t="s">
        <v>45</v>
      </c>
      <c r="R163" s="28">
        <v>1</v>
      </c>
      <c r="S163" s="18" t="s">
        <v>45</v>
      </c>
      <c r="T163" s="19" t="s">
        <v>332</v>
      </c>
      <c r="U163" s="20">
        <f t="shared" si="48"/>
        <v>182.49600000000001</v>
      </c>
      <c r="V163" s="20">
        <v>9.1319999999999997</v>
      </c>
      <c r="W163" s="20">
        <v>169.81700000000001</v>
      </c>
      <c r="X163" s="20">
        <v>3.5470000000000002</v>
      </c>
      <c r="Y163" s="21" t="s">
        <v>333</v>
      </c>
      <c r="Z163" s="29">
        <v>41</v>
      </c>
      <c r="AA163" s="29">
        <v>131.5</v>
      </c>
      <c r="AB163" s="29">
        <v>10</v>
      </c>
      <c r="AC163" s="50">
        <f t="shared" si="77"/>
        <v>182.5</v>
      </c>
      <c r="AD163" s="23">
        <f t="shared" si="85"/>
        <v>266</v>
      </c>
      <c r="AE163" s="23">
        <f t="shared" si="69"/>
        <v>59.758904109589039</v>
      </c>
      <c r="AF163" s="23">
        <f t="shared" si="70"/>
        <v>191.66575342465754</v>
      </c>
      <c r="AG163" s="23">
        <f t="shared" si="71"/>
        <v>14.575342465753424</v>
      </c>
      <c r="AH163" s="23">
        <f t="shared" si="72"/>
        <v>35.466666666666669</v>
      </c>
      <c r="AI163" s="23">
        <f t="shared" si="73"/>
        <v>17.733333333333334</v>
      </c>
      <c r="AJ163" s="23">
        <f t="shared" si="74"/>
        <v>53.2</v>
      </c>
      <c r="AK163" s="44"/>
      <c r="AL163" s="24"/>
      <c r="AM163" s="30"/>
      <c r="AN163" s="24"/>
      <c r="AO163" s="24"/>
      <c r="AP163" s="24"/>
      <c r="AQ163" s="24"/>
      <c r="AR163" s="24">
        <v>40</v>
      </c>
      <c r="AS163" s="24"/>
      <c r="AT163" s="24"/>
      <c r="AU163" s="30"/>
      <c r="AV163" s="24"/>
    </row>
    <row r="164" spans="1:48" s="42" customFormat="1" x14ac:dyDescent="0.3">
      <c r="A164" s="31"/>
      <c r="B164" s="31"/>
      <c r="C164" s="32" t="s">
        <v>52</v>
      </c>
      <c r="D164" s="33"/>
      <c r="E164" s="34"/>
      <c r="F164" s="35"/>
      <c r="G164" s="36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3"/>
      <c r="U164" s="76">
        <f>SUM(U162:U163)</f>
        <v>342.69600000000003</v>
      </c>
      <c r="V164" s="76">
        <f t="shared" ref="V164:AC164" si="86">SUM(V162:V163)</f>
        <v>9.1319999999999997</v>
      </c>
      <c r="W164" s="76">
        <f t="shared" si="86"/>
        <v>169.81700000000001</v>
      </c>
      <c r="X164" s="76">
        <f t="shared" si="86"/>
        <v>3.5470000000000002</v>
      </c>
      <c r="Y164" s="77">
        <f t="shared" si="86"/>
        <v>342.7</v>
      </c>
      <c r="Z164" s="39">
        <f t="shared" si="86"/>
        <v>41</v>
      </c>
      <c r="AA164" s="39">
        <f t="shared" si="86"/>
        <v>291.7</v>
      </c>
      <c r="AB164" s="39">
        <f t="shared" si="86"/>
        <v>10</v>
      </c>
      <c r="AC164" s="39">
        <f t="shared" si="86"/>
        <v>342.7</v>
      </c>
      <c r="AD164" s="40">
        <f t="shared" ref="AD164:AD165" si="87">280+(AC164-200)*0.1</f>
        <v>294.27</v>
      </c>
      <c r="AE164" s="40">
        <f t="shared" si="69"/>
        <v>35.205923548292965</v>
      </c>
      <c r="AF164" s="40">
        <f t="shared" si="70"/>
        <v>250.47726583017214</v>
      </c>
      <c r="AG164" s="40">
        <f t="shared" si="71"/>
        <v>8.5868106215348696</v>
      </c>
      <c r="AH164" s="40">
        <f t="shared" si="72"/>
        <v>39.235999999999997</v>
      </c>
      <c r="AI164" s="40">
        <f t="shared" si="73"/>
        <v>19.617999999999999</v>
      </c>
      <c r="AJ164" s="40">
        <f t="shared" si="74"/>
        <v>58.853999999999999</v>
      </c>
      <c r="AK164" s="41"/>
      <c r="AL164" s="41"/>
      <c r="AM164" s="41"/>
      <c r="AN164" s="41"/>
      <c r="AO164" s="41"/>
      <c r="AP164" s="41"/>
      <c r="AQ164" s="41"/>
      <c r="AR164" s="41">
        <v>40</v>
      </c>
      <c r="AS164" s="41"/>
      <c r="AT164" s="41"/>
      <c r="AU164" s="41"/>
      <c r="AV164" s="41"/>
    </row>
    <row r="165" spans="1:48" s="25" customFormat="1" ht="19.5" customHeight="1" collapsed="1" x14ac:dyDescent="0.3">
      <c r="A165" s="15">
        <v>28</v>
      </c>
      <c r="B165" s="15" t="s">
        <v>334</v>
      </c>
      <c r="C165" s="16" t="s">
        <v>43</v>
      </c>
      <c r="D165" s="19"/>
      <c r="E165" s="17"/>
      <c r="F165" s="18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9"/>
      <c r="U165" s="20">
        <v>324.5</v>
      </c>
      <c r="V165" s="20"/>
      <c r="W165" s="20"/>
      <c r="X165" s="20"/>
      <c r="Y165" s="21">
        <v>592.20000000000005</v>
      </c>
      <c r="Z165" s="22">
        <v>297.7</v>
      </c>
      <c r="AA165" s="22">
        <f>IF([22]Заяц_беляк!$N$5=0,"",[22]Заяц_беляк!$N$5)</f>
        <v>25.9</v>
      </c>
      <c r="AB165" s="22">
        <f>IF([22]Заяц_беляк!$O$5=0,"",[22]Заяц_беляк!$O$5)</f>
        <v>0.9</v>
      </c>
      <c r="AC165" s="22">
        <f t="shared" si="77"/>
        <v>324.49999999999994</v>
      </c>
      <c r="AD165" s="23">
        <f t="shared" si="87"/>
        <v>292.45</v>
      </c>
      <c r="AE165" s="23">
        <f t="shared" si="69"/>
        <v>268.29696456086288</v>
      </c>
      <c r="AF165" s="23">
        <f t="shared" si="70"/>
        <v>23.341926040061633</v>
      </c>
      <c r="AG165" s="23">
        <f t="shared" si="71"/>
        <v>0.81110939907550084</v>
      </c>
      <c r="AH165" s="23">
        <f t="shared" si="72"/>
        <v>38.993333333333332</v>
      </c>
      <c r="AI165" s="23">
        <f t="shared" si="73"/>
        <v>19.496666666666666</v>
      </c>
      <c r="AJ165" s="23">
        <f t="shared" si="74"/>
        <v>58.489999999999995</v>
      </c>
      <c r="AK165" s="24"/>
      <c r="AL165" s="24"/>
      <c r="AM165" s="24"/>
      <c r="AN165" s="24"/>
      <c r="AO165" s="24"/>
      <c r="AP165" s="24"/>
      <c r="AQ165" s="24"/>
      <c r="AR165" s="24">
        <v>387.6</v>
      </c>
      <c r="AS165" s="24"/>
      <c r="AT165" s="24"/>
      <c r="AU165" s="24"/>
      <c r="AV165" s="24"/>
    </row>
    <row r="166" spans="1:48" s="25" customFormat="1" ht="56.25" customHeight="1" x14ac:dyDescent="0.3">
      <c r="A166" s="26">
        <v>157</v>
      </c>
      <c r="B166" s="26"/>
      <c r="C166" s="61" t="s">
        <v>335</v>
      </c>
      <c r="D166" s="19" t="s">
        <v>336</v>
      </c>
      <c r="E166" s="17" t="s">
        <v>337</v>
      </c>
      <c r="F166" s="18" t="s">
        <v>338</v>
      </c>
      <c r="G166" s="17"/>
      <c r="H166" s="28">
        <v>1</v>
      </c>
      <c r="I166" s="28">
        <v>1</v>
      </c>
      <c r="J166" s="28">
        <v>1</v>
      </c>
      <c r="K166" s="18" t="s">
        <v>45</v>
      </c>
      <c r="L166" s="18" t="s">
        <v>45</v>
      </c>
      <c r="M166" s="18" t="s">
        <v>45</v>
      </c>
      <c r="N166" s="18" t="s">
        <v>45</v>
      </c>
      <c r="O166" s="28">
        <v>1</v>
      </c>
      <c r="P166" s="28">
        <v>1</v>
      </c>
      <c r="Q166" s="28">
        <v>1</v>
      </c>
      <c r="R166" s="28">
        <v>1</v>
      </c>
      <c r="S166" s="18" t="s">
        <v>45</v>
      </c>
      <c r="T166" s="19" t="s">
        <v>56</v>
      </c>
      <c r="U166" s="20">
        <f t="shared" si="48"/>
        <v>196.23259999999999</v>
      </c>
      <c r="V166" s="20">
        <v>129.553</v>
      </c>
      <c r="W166" s="20">
        <v>66.679599999999994</v>
      </c>
      <c r="X166" s="20"/>
      <c r="Y166" s="21"/>
      <c r="Z166" s="29">
        <v>124.60299999999999</v>
      </c>
      <c r="AA166" s="29">
        <v>69.099000000000004</v>
      </c>
      <c r="AB166" s="29">
        <v>2.5310000000000001</v>
      </c>
      <c r="AC166" s="29">
        <f t="shared" si="77"/>
        <v>196.233</v>
      </c>
      <c r="AD166" s="23">
        <f t="shared" ref="AD166:AD167" si="88">160+(AC166-50)*0.8</f>
        <v>276.9864</v>
      </c>
      <c r="AE166" s="23">
        <f t="shared" si="69"/>
        <v>175.87936992860529</v>
      </c>
      <c r="AF166" s="23">
        <f t="shared" si="70"/>
        <v>97.53447816422316</v>
      </c>
      <c r="AG166" s="23">
        <f t="shared" si="71"/>
        <v>3.5725519071715768</v>
      </c>
      <c r="AH166" s="23">
        <f t="shared" si="72"/>
        <v>36.931519999999999</v>
      </c>
      <c r="AI166" s="23">
        <f t="shared" si="73"/>
        <v>18.46576</v>
      </c>
      <c r="AJ166" s="23">
        <f t="shared" si="74"/>
        <v>55.397280000000002</v>
      </c>
      <c r="AK166" s="30"/>
      <c r="AL166" s="30"/>
      <c r="AM166" s="30"/>
      <c r="AN166" s="24"/>
      <c r="AO166" s="24"/>
      <c r="AP166" s="24"/>
      <c r="AQ166" s="24"/>
      <c r="AR166" s="30">
        <v>124.6</v>
      </c>
      <c r="AS166" s="30"/>
      <c r="AT166" s="30"/>
      <c r="AU166" s="30"/>
      <c r="AV166" s="24"/>
    </row>
    <row r="167" spans="1:48" s="25" customFormat="1" ht="36.75" customHeight="1" x14ac:dyDescent="0.3">
      <c r="A167" s="26">
        <v>158</v>
      </c>
      <c r="B167" s="26"/>
      <c r="C167" s="16" t="s">
        <v>339</v>
      </c>
      <c r="D167" s="19" t="s">
        <v>340</v>
      </c>
      <c r="E167" s="17">
        <v>41450</v>
      </c>
      <c r="F167" s="18" t="s">
        <v>341</v>
      </c>
      <c r="G167" s="17"/>
      <c r="H167" s="28">
        <v>1</v>
      </c>
      <c r="I167" s="28">
        <v>1</v>
      </c>
      <c r="J167" s="28">
        <v>1</v>
      </c>
      <c r="K167" s="18" t="s">
        <v>45</v>
      </c>
      <c r="L167" s="18" t="s">
        <v>45</v>
      </c>
      <c r="M167" s="18" t="s">
        <v>45</v>
      </c>
      <c r="N167" s="18" t="s">
        <v>45</v>
      </c>
      <c r="O167" s="28">
        <v>1</v>
      </c>
      <c r="P167" s="28">
        <v>1</v>
      </c>
      <c r="Q167" s="28">
        <v>1</v>
      </c>
      <c r="R167" s="28">
        <v>1</v>
      </c>
      <c r="S167" s="18" t="s">
        <v>45</v>
      </c>
      <c r="T167" s="19" t="s">
        <v>342</v>
      </c>
      <c r="U167" s="20">
        <f t="shared" si="48"/>
        <v>71.477999999999994</v>
      </c>
      <c r="V167" s="20">
        <v>71.477999999999994</v>
      </c>
      <c r="W167" s="20"/>
      <c r="X167" s="20"/>
      <c r="Y167" s="21"/>
      <c r="Z167" s="29">
        <f>IF([23]Заяц_беляк!$M$5=0,"",[23]Заяц_беляк!$M$5)</f>
        <v>71.489999999999995</v>
      </c>
      <c r="AA167" s="29">
        <v>0</v>
      </c>
      <c r="AB167" s="29">
        <v>0</v>
      </c>
      <c r="AC167" s="29">
        <f t="shared" si="77"/>
        <v>71.489999999999995</v>
      </c>
      <c r="AD167" s="23">
        <f t="shared" si="88"/>
        <v>177.19200000000001</v>
      </c>
      <c r="AE167" s="23">
        <f t="shared" si="69"/>
        <v>177.19200000000001</v>
      </c>
      <c r="AF167" s="23">
        <f t="shared" si="70"/>
        <v>0</v>
      </c>
      <c r="AG167" s="23">
        <f t="shared" si="71"/>
        <v>0</v>
      </c>
      <c r="AH167" s="23">
        <f t="shared" si="72"/>
        <v>23.625600000000002</v>
      </c>
      <c r="AI167" s="23">
        <f t="shared" si="73"/>
        <v>11.812800000000001</v>
      </c>
      <c r="AJ167" s="23">
        <f t="shared" si="74"/>
        <v>35.438400000000001</v>
      </c>
      <c r="AK167" s="30"/>
      <c r="AL167" s="30"/>
      <c r="AM167" s="30"/>
      <c r="AN167" s="24"/>
      <c r="AO167" s="24"/>
      <c r="AP167" s="24"/>
      <c r="AQ167" s="24"/>
      <c r="AR167" s="30">
        <v>71.477999999999994</v>
      </c>
      <c r="AS167" s="30"/>
      <c r="AT167" s="30"/>
      <c r="AU167" s="30"/>
      <c r="AV167" s="24"/>
    </row>
    <row r="168" spans="1:48" s="42" customFormat="1" x14ac:dyDescent="0.3">
      <c r="A168" s="31"/>
      <c r="B168" s="31"/>
      <c r="C168" s="32" t="s">
        <v>52</v>
      </c>
      <c r="D168" s="33"/>
      <c r="E168" s="34"/>
      <c r="F168" s="35"/>
      <c r="G168" s="36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3"/>
      <c r="U168" s="76">
        <f>SUM(U165:U167)</f>
        <v>592.2106</v>
      </c>
      <c r="V168" s="76">
        <f t="shared" ref="V168:AC168" si="89">SUM(V165:V167)</f>
        <v>201.03100000000001</v>
      </c>
      <c r="W168" s="76">
        <f t="shared" si="89"/>
        <v>66.679599999999994</v>
      </c>
      <c r="X168" s="76">
        <f t="shared" si="89"/>
        <v>0</v>
      </c>
      <c r="Y168" s="77">
        <f t="shared" si="89"/>
        <v>592.20000000000005</v>
      </c>
      <c r="Z168" s="39">
        <f t="shared" si="89"/>
        <v>493.79300000000001</v>
      </c>
      <c r="AA168" s="39">
        <f t="shared" si="89"/>
        <v>94.998999999999995</v>
      </c>
      <c r="AB168" s="39">
        <f t="shared" si="89"/>
        <v>3.431</v>
      </c>
      <c r="AC168" s="39">
        <f t="shared" si="89"/>
        <v>592.22299999999996</v>
      </c>
      <c r="AD168" s="40">
        <f>280+(AC168-200)*0.1</f>
        <v>319.22230000000002</v>
      </c>
      <c r="AE168" s="40">
        <f t="shared" si="69"/>
        <v>266.1661860209752</v>
      </c>
      <c r="AF168" s="40">
        <f t="shared" si="70"/>
        <v>51.206723274340916</v>
      </c>
      <c r="AG168" s="40">
        <f t="shared" si="71"/>
        <v>1.8493907046838778</v>
      </c>
      <c r="AH168" s="40">
        <f t="shared" si="72"/>
        <v>42.562973333333339</v>
      </c>
      <c r="AI168" s="40">
        <f t="shared" si="73"/>
        <v>21.28148666666667</v>
      </c>
      <c r="AJ168" s="40">
        <f t="shared" si="74"/>
        <v>63.844460000000005</v>
      </c>
      <c r="AK168" s="41"/>
      <c r="AL168" s="41"/>
      <c r="AM168" s="41"/>
      <c r="AN168" s="41"/>
      <c r="AO168" s="41"/>
      <c r="AP168" s="41"/>
      <c r="AQ168" s="41"/>
      <c r="AR168" s="41">
        <v>583.678</v>
      </c>
      <c r="AS168" s="41"/>
      <c r="AT168" s="41"/>
      <c r="AU168" s="41"/>
      <c r="AV168" s="41"/>
    </row>
    <row r="169" spans="1:48" s="25" customFormat="1" ht="18" customHeight="1" x14ac:dyDescent="0.3">
      <c r="A169" s="15">
        <v>29</v>
      </c>
      <c r="B169" s="15" t="s">
        <v>343</v>
      </c>
      <c r="C169" s="16" t="s">
        <v>43</v>
      </c>
      <c r="D169" s="19"/>
      <c r="E169" s="17"/>
      <c r="F169" s="18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9"/>
      <c r="U169" s="20">
        <v>144.80000000000001</v>
      </c>
      <c r="V169" s="20"/>
      <c r="W169" s="20"/>
      <c r="X169" s="20"/>
      <c r="Y169" s="21">
        <v>366.8</v>
      </c>
      <c r="Z169" s="22">
        <v>144.80000000000001</v>
      </c>
      <c r="AA169" s="22">
        <v>0</v>
      </c>
      <c r="AB169" s="22">
        <v>0</v>
      </c>
      <c r="AC169" s="22">
        <f>SUM(Z169:AB169)</f>
        <v>144.80000000000001</v>
      </c>
      <c r="AD169" s="23">
        <f t="shared" ref="AD169:AD170" si="90">160+(AC169-50)*0.8</f>
        <v>235.84000000000003</v>
      </c>
      <c r="AE169" s="23">
        <f t="shared" si="69"/>
        <v>235.84</v>
      </c>
      <c r="AF169" s="23">
        <f t="shared" si="70"/>
        <v>0</v>
      </c>
      <c r="AG169" s="23">
        <f t="shared" si="71"/>
        <v>0</v>
      </c>
      <c r="AH169" s="23">
        <f t="shared" si="72"/>
        <v>31.445333333333338</v>
      </c>
      <c r="AI169" s="23">
        <f t="shared" si="73"/>
        <v>15.722666666666669</v>
      </c>
      <c r="AJ169" s="23">
        <f t="shared" si="74"/>
        <v>47.168000000000006</v>
      </c>
      <c r="AK169" s="24"/>
      <c r="AL169" s="24"/>
      <c r="AM169" s="24"/>
      <c r="AN169" s="24"/>
      <c r="AO169" s="24"/>
      <c r="AP169" s="24"/>
      <c r="AQ169" s="24"/>
      <c r="AR169" s="24">
        <v>29.1</v>
      </c>
      <c r="AS169" s="24"/>
      <c r="AT169" s="24"/>
      <c r="AU169" s="24"/>
      <c r="AV169" s="24"/>
    </row>
    <row r="170" spans="1:48" s="87" customFormat="1" ht="36.75" customHeight="1" x14ac:dyDescent="0.25">
      <c r="A170" s="26"/>
      <c r="B170" s="26"/>
      <c r="C170" s="70" t="s">
        <v>344</v>
      </c>
      <c r="D170" s="19" t="s">
        <v>345</v>
      </c>
      <c r="E170" s="17">
        <v>40871</v>
      </c>
      <c r="F170" s="18">
        <v>29</v>
      </c>
      <c r="G170" s="17"/>
      <c r="H170" s="28">
        <v>1</v>
      </c>
      <c r="I170" s="28">
        <v>1</v>
      </c>
      <c r="J170" s="28">
        <v>1</v>
      </c>
      <c r="K170" s="18" t="s">
        <v>45</v>
      </c>
      <c r="L170" s="18" t="s">
        <v>45</v>
      </c>
      <c r="M170" s="18" t="s">
        <v>45</v>
      </c>
      <c r="N170" s="18" t="s">
        <v>45</v>
      </c>
      <c r="O170" s="28">
        <v>1</v>
      </c>
      <c r="P170" s="28">
        <v>1</v>
      </c>
      <c r="Q170" s="28">
        <v>1</v>
      </c>
      <c r="R170" s="28">
        <v>1</v>
      </c>
      <c r="S170" s="28">
        <v>1</v>
      </c>
      <c r="T170" s="19" t="s">
        <v>180</v>
      </c>
      <c r="U170" s="20">
        <f t="shared" si="48"/>
        <v>72.722999999999999</v>
      </c>
      <c r="V170" s="20">
        <v>44.432000000000002</v>
      </c>
      <c r="W170" s="20">
        <v>28.291</v>
      </c>
      <c r="X170" s="20"/>
      <c r="Y170" s="21"/>
      <c r="Z170" s="29">
        <v>50</v>
      </c>
      <c r="AA170" s="29">
        <v>22.7</v>
      </c>
      <c r="AB170" s="29">
        <v>0</v>
      </c>
      <c r="AC170" s="29">
        <f t="shared" ref="AC170:AC176" si="91">IF(SUM(Z170:AB170)=0,"",SUM(Z170:AB170))</f>
        <v>72.7</v>
      </c>
      <c r="AD170" s="23">
        <f t="shared" si="90"/>
        <v>178.16</v>
      </c>
      <c r="AE170" s="23">
        <f t="shared" si="69"/>
        <v>122.53094910591471</v>
      </c>
      <c r="AF170" s="23">
        <f t="shared" si="70"/>
        <v>55.629050894085282</v>
      </c>
      <c r="AG170" s="23">
        <f t="shared" si="71"/>
        <v>0</v>
      </c>
      <c r="AH170" s="23">
        <f t="shared" si="72"/>
        <v>23.754666666666665</v>
      </c>
      <c r="AI170" s="23">
        <f t="shared" si="73"/>
        <v>11.877333333333333</v>
      </c>
      <c r="AJ170" s="23">
        <f t="shared" si="74"/>
        <v>35.631999999999998</v>
      </c>
      <c r="AK170" s="30"/>
      <c r="AL170" s="30"/>
      <c r="AM170" s="30"/>
      <c r="AN170" s="24"/>
      <c r="AO170" s="24"/>
      <c r="AP170" s="24"/>
      <c r="AQ170" s="24"/>
      <c r="AR170" s="30">
        <v>43.795999999999999</v>
      </c>
      <c r="AS170" s="30"/>
      <c r="AT170" s="30"/>
      <c r="AU170" s="30"/>
      <c r="AV170" s="30"/>
    </row>
    <row r="171" spans="1:48" s="87" customFormat="1" ht="36.75" customHeight="1" x14ac:dyDescent="0.25">
      <c r="A171" s="26"/>
      <c r="B171" s="26"/>
      <c r="C171" s="70" t="s">
        <v>346</v>
      </c>
      <c r="D171" s="19" t="s">
        <v>347</v>
      </c>
      <c r="E171" s="17">
        <v>41907</v>
      </c>
      <c r="F171" s="18">
        <v>118</v>
      </c>
      <c r="G171" s="17"/>
      <c r="H171" s="28">
        <v>1</v>
      </c>
      <c r="I171" s="28">
        <v>1</v>
      </c>
      <c r="J171" s="28">
        <v>1</v>
      </c>
      <c r="K171" s="28">
        <v>1</v>
      </c>
      <c r="L171" s="18" t="s">
        <v>45</v>
      </c>
      <c r="M171" s="18" t="s">
        <v>45</v>
      </c>
      <c r="N171" s="18" t="s">
        <v>45</v>
      </c>
      <c r="O171" s="28">
        <v>1</v>
      </c>
      <c r="P171" s="28">
        <v>1</v>
      </c>
      <c r="Q171" s="28">
        <v>1</v>
      </c>
      <c r="R171" s="28">
        <v>1</v>
      </c>
      <c r="S171" s="28">
        <v>1</v>
      </c>
      <c r="T171" s="19" t="s">
        <v>348</v>
      </c>
      <c r="U171" s="20">
        <f t="shared" si="48"/>
        <v>15.443</v>
      </c>
      <c r="V171" s="20">
        <v>15.443</v>
      </c>
      <c r="W171" s="20"/>
      <c r="X171" s="20"/>
      <c r="Y171" s="21"/>
      <c r="Z171" s="29">
        <v>15.443</v>
      </c>
      <c r="AA171" s="29">
        <v>0</v>
      </c>
      <c r="AB171" s="29">
        <v>0</v>
      </c>
      <c r="AC171" s="29">
        <f t="shared" si="91"/>
        <v>15.443</v>
      </c>
      <c r="AD171" s="23">
        <f>50+(AC171-10)*5</f>
        <v>77.215000000000003</v>
      </c>
      <c r="AE171" s="23">
        <f t="shared" si="69"/>
        <v>77.215000000000003</v>
      </c>
      <c r="AF171" s="23">
        <f t="shared" si="70"/>
        <v>0</v>
      </c>
      <c r="AG171" s="23">
        <f t="shared" si="71"/>
        <v>0</v>
      </c>
      <c r="AH171" s="23">
        <f t="shared" si="72"/>
        <v>10.295333333333334</v>
      </c>
      <c r="AI171" s="23">
        <f t="shared" si="73"/>
        <v>5.1476666666666668</v>
      </c>
      <c r="AJ171" s="23">
        <f t="shared" si="74"/>
        <v>15.443000000000001</v>
      </c>
      <c r="AK171" s="30"/>
      <c r="AL171" s="30"/>
      <c r="AM171" s="30"/>
      <c r="AN171" s="30"/>
      <c r="AO171" s="24"/>
      <c r="AP171" s="24"/>
      <c r="AQ171" s="24"/>
      <c r="AR171" s="30">
        <v>15.443</v>
      </c>
      <c r="AS171" s="30"/>
      <c r="AT171" s="30"/>
      <c r="AU171" s="30"/>
      <c r="AV171" s="30"/>
    </row>
    <row r="172" spans="1:48" s="87" customFormat="1" ht="36.75" customHeight="1" x14ac:dyDescent="0.25">
      <c r="A172" s="26"/>
      <c r="B172" s="26"/>
      <c r="C172" s="70" t="s">
        <v>349</v>
      </c>
      <c r="D172" s="19" t="s">
        <v>350</v>
      </c>
      <c r="E172" s="17">
        <v>41034</v>
      </c>
      <c r="F172" s="18">
        <v>43</v>
      </c>
      <c r="G172" s="17"/>
      <c r="H172" s="28">
        <v>1</v>
      </c>
      <c r="I172" s="28">
        <v>1</v>
      </c>
      <c r="J172" s="28">
        <v>1</v>
      </c>
      <c r="K172" s="28">
        <v>1</v>
      </c>
      <c r="L172" s="18" t="s">
        <v>45</v>
      </c>
      <c r="M172" s="18" t="s">
        <v>45</v>
      </c>
      <c r="N172" s="18" t="s">
        <v>45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19" t="s">
        <v>348</v>
      </c>
      <c r="U172" s="20">
        <f t="shared" si="48"/>
        <v>6.2670000000000003</v>
      </c>
      <c r="V172" s="20">
        <v>6.2670000000000003</v>
      </c>
      <c r="W172" s="20"/>
      <c r="X172" s="20"/>
      <c r="Y172" s="21"/>
      <c r="Z172" s="29">
        <v>6.2670000000000003</v>
      </c>
      <c r="AA172" s="29">
        <v>0</v>
      </c>
      <c r="AB172" s="29">
        <v>0</v>
      </c>
      <c r="AC172" s="29">
        <f t="shared" si="91"/>
        <v>6.2670000000000003</v>
      </c>
      <c r="AD172" s="23"/>
      <c r="AE172" s="23"/>
      <c r="AF172" s="23"/>
      <c r="AG172" s="23"/>
      <c r="AH172" s="23"/>
      <c r="AI172" s="23"/>
      <c r="AJ172" s="23"/>
      <c r="AK172" s="30"/>
      <c r="AL172" s="30"/>
      <c r="AM172" s="30"/>
      <c r="AN172" s="30"/>
      <c r="AO172" s="24"/>
      <c r="AP172" s="24"/>
      <c r="AQ172" s="24"/>
      <c r="AR172" s="30">
        <v>6.2670000000000003</v>
      </c>
      <c r="AS172" s="30"/>
      <c r="AT172" s="30"/>
      <c r="AU172" s="30"/>
      <c r="AV172" s="30"/>
    </row>
    <row r="173" spans="1:48" s="87" customFormat="1" ht="36.75" customHeight="1" x14ac:dyDescent="0.25">
      <c r="A173" s="26"/>
      <c r="B173" s="26"/>
      <c r="C173" s="70" t="s">
        <v>351</v>
      </c>
      <c r="D173" s="19" t="s">
        <v>352</v>
      </c>
      <c r="E173" s="17">
        <v>41834</v>
      </c>
      <c r="F173" s="18">
        <v>107</v>
      </c>
      <c r="G173" s="17"/>
      <c r="H173" s="18" t="s">
        <v>45</v>
      </c>
      <c r="I173" s="18" t="s">
        <v>45</v>
      </c>
      <c r="J173" s="28">
        <v>1</v>
      </c>
      <c r="K173" s="18" t="s">
        <v>45</v>
      </c>
      <c r="L173" s="18" t="s">
        <v>45</v>
      </c>
      <c r="M173" s="18" t="s">
        <v>45</v>
      </c>
      <c r="N173" s="18" t="s">
        <v>45</v>
      </c>
      <c r="O173" s="28">
        <v>1</v>
      </c>
      <c r="P173" s="18" t="s">
        <v>45</v>
      </c>
      <c r="Q173" s="18" t="s">
        <v>45</v>
      </c>
      <c r="R173" s="28">
        <v>1</v>
      </c>
      <c r="S173" s="18" t="s">
        <v>45</v>
      </c>
      <c r="T173" s="19" t="s">
        <v>353</v>
      </c>
      <c r="U173" s="20">
        <f t="shared" ref="U173:U257" si="92">V173+W173+X173</f>
        <v>57.080999999999996</v>
      </c>
      <c r="V173" s="20">
        <v>3.4729999999999999</v>
      </c>
      <c r="W173" s="20">
        <v>53.607999999999997</v>
      </c>
      <c r="X173" s="20"/>
      <c r="Y173" s="21"/>
      <c r="Z173" s="22">
        <v>3.4729999999999999</v>
      </c>
      <c r="AA173" s="22">
        <v>53.607999999999997</v>
      </c>
      <c r="AB173" s="22">
        <v>0</v>
      </c>
      <c r="AC173" s="22">
        <f t="shared" si="91"/>
        <v>57.080999999999996</v>
      </c>
      <c r="AD173" s="23">
        <f>160+(AC173-50)*0.8</f>
        <v>165.66479999999999</v>
      </c>
      <c r="AE173" s="23">
        <f t="shared" si="69"/>
        <v>10.079603552845956</v>
      </c>
      <c r="AF173" s="23">
        <f t="shared" si="70"/>
        <v>155.58519644715403</v>
      </c>
      <c r="AG173" s="23">
        <f t="shared" si="71"/>
        <v>0</v>
      </c>
      <c r="AH173" s="23">
        <f t="shared" si="72"/>
        <v>22.088639999999998</v>
      </c>
      <c r="AI173" s="23">
        <f t="shared" si="73"/>
        <v>11.044319999999999</v>
      </c>
      <c r="AJ173" s="23">
        <f t="shared" si="74"/>
        <v>33.132959999999997</v>
      </c>
      <c r="AK173" s="24"/>
      <c r="AL173" s="24"/>
      <c r="AM173" s="30"/>
      <c r="AN173" s="24"/>
      <c r="AO173" s="24"/>
      <c r="AP173" s="24"/>
      <c r="AQ173" s="24"/>
      <c r="AR173" s="30">
        <v>0</v>
      </c>
      <c r="AS173" s="24"/>
      <c r="AT173" s="24"/>
      <c r="AU173" s="30"/>
      <c r="AV173" s="24"/>
    </row>
    <row r="174" spans="1:48" s="87" customFormat="1" ht="36.75" customHeight="1" x14ac:dyDescent="0.25">
      <c r="A174" s="26"/>
      <c r="B174" s="26"/>
      <c r="C174" s="70" t="s">
        <v>354</v>
      </c>
      <c r="D174" s="19" t="s">
        <v>355</v>
      </c>
      <c r="E174" s="17">
        <v>41688</v>
      </c>
      <c r="F174" s="18">
        <v>86</v>
      </c>
      <c r="G174" s="17"/>
      <c r="H174" s="18" t="s">
        <v>45</v>
      </c>
      <c r="I174" s="28">
        <v>1</v>
      </c>
      <c r="J174" s="28">
        <v>1</v>
      </c>
      <c r="K174" s="18" t="s">
        <v>45</v>
      </c>
      <c r="L174" s="18" t="s">
        <v>45</v>
      </c>
      <c r="M174" s="18" t="s">
        <v>45</v>
      </c>
      <c r="N174" s="18" t="s">
        <v>45</v>
      </c>
      <c r="O174" s="28">
        <v>1</v>
      </c>
      <c r="P174" s="28">
        <v>1</v>
      </c>
      <c r="Q174" s="28">
        <v>1</v>
      </c>
      <c r="R174" s="28">
        <v>1</v>
      </c>
      <c r="S174" s="18" t="s">
        <v>45</v>
      </c>
      <c r="T174" s="19" t="s">
        <v>356</v>
      </c>
      <c r="U174" s="20">
        <f t="shared" si="92"/>
        <v>24.175000000000001</v>
      </c>
      <c r="V174" s="20">
        <v>4.532</v>
      </c>
      <c r="W174" s="20">
        <v>19.643000000000001</v>
      </c>
      <c r="X174" s="20"/>
      <c r="Y174" s="21"/>
      <c r="Z174" s="22">
        <v>4.532</v>
      </c>
      <c r="AA174" s="22">
        <v>19.643000000000001</v>
      </c>
      <c r="AB174" s="22">
        <v>0</v>
      </c>
      <c r="AC174" s="22">
        <f t="shared" si="91"/>
        <v>24.175000000000001</v>
      </c>
      <c r="AD174" s="23">
        <f>100+(AC174-20)*2</f>
        <v>108.35</v>
      </c>
      <c r="AE174" s="23">
        <f t="shared" si="69"/>
        <v>20.311983453981384</v>
      </c>
      <c r="AF174" s="23">
        <f t="shared" si="70"/>
        <v>88.038016546018611</v>
      </c>
      <c r="AG174" s="23">
        <f t="shared" si="71"/>
        <v>0</v>
      </c>
      <c r="AH174" s="23">
        <f t="shared" si="72"/>
        <v>14.446666666666665</v>
      </c>
      <c r="AI174" s="23">
        <f t="shared" si="73"/>
        <v>7.2233333333333327</v>
      </c>
      <c r="AJ174" s="23">
        <f t="shared" si="74"/>
        <v>21.669999999999998</v>
      </c>
      <c r="AK174" s="24"/>
      <c r="AL174" s="30"/>
      <c r="AM174" s="30"/>
      <c r="AN174" s="24"/>
      <c r="AO174" s="24"/>
      <c r="AP174" s="24"/>
      <c r="AQ174" s="24"/>
      <c r="AR174" s="30">
        <v>0</v>
      </c>
      <c r="AS174" s="30"/>
      <c r="AT174" s="30"/>
      <c r="AU174" s="30"/>
      <c r="AV174" s="24"/>
    </row>
    <row r="175" spans="1:48" s="25" customFormat="1" ht="37.5" customHeight="1" x14ac:dyDescent="0.3">
      <c r="A175" s="26"/>
      <c r="B175" s="26"/>
      <c r="C175" s="16" t="s">
        <v>94</v>
      </c>
      <c r="D175" s="19" t="s">
        <v>95</v>
      </c>
      <c r="E175" s="17">
        <v>40862</v>
      </c>
      <c r="F175" s="18">
        <v>26</v>
      </c>
      <c r="G175" s="17"/>
      <c r="H175" s="28">
        <v>1</v>
      </c>
      <c r="I175" s="28">
        <v>1</v>
      </c>
      <c r="J175" s="28">
        <v>1</v>
      </c>
      <c r="K175" s="28">
        <v>1</v>
      </c>
      <c r="L175" s="18" t="s">
        <v>45</v>
      </c>
      <c r="M175" s="18" t="s">
        <v>45</v>
      </c>
      <c r="N175" s="18" t="s">
        <v>45</v>
      </c>
      <c r="O175" s="28">
        <v>1</v>
      </c>
      <c r="P175" s="28">
        <v>1</v>
      </c>
      <c r="Q175" s="28">
        <v>1</v>
      </c>
      <c r="R175" s="28">
        <v>1</v>
      </c>
      <c r="S175" s="28">
        <v>1</v>
      </c>
      <c r="T175" s="19" t="s">
        <v>79</v>
      </c>
      <c r="U175" s="20">
        <f t="shared" si="92"/>
        <v>13.125999999999999</v>
      </c>
      <c r="V175" s="20">
        <v>10.138</v>
      </c>
      <c r="W175" s="20">
        <v>2.988</v>
      </c>
      <c r="X175" s="20"/>
      <c r="Y175" s="21"/>
      <c r="Z175" s="22">
        <v>10.138</v>
      </c>
      <c r="AA175" s="22">
        <v>2.988</v>
      </c>
      <c r="AB175" s="22">
        <v>0</v>
      </c>
      <c r="AC175" s="22">
        <f t="shared" si="91"/>
        <v>13.125999999999999</v>
      </c>
      <c r="AD175" s="23">
        <f>50+(AC175-10)*5</f>
        <v>65.63</v>
      </c>
      <c r="AE175" s="23">
        <f t="shared" si="69"/>
        <v>50.689999999999991</v>
      </c>
      <c r="AF175" s="23">
        <f t="shared" si="70"/>
        <v>14.939999999999998</v>
      </c>
      <c r="AG175" s="23">
        <f t="shared" si="71"/>
        <v>0</v>
      </c>
      <c r="AH175" s="23">
        <f t="shared" si="72"/>
        <v>8.7506666666666657</v>
      </c>
      <c r="AI175" s="23">
        <f t="shared" si="73"/>
        <v>4.3753333333333329</v>
      </c>
      <c r="AJ175" s="23">
        <f t="shared" si="74"/>
        <v>13.125999999999999</v>
      </c>
      <c r="AK175" s="30"/>
      <c r="AL175" s="30"/>
      <c r="AM175" s="30"/>
      <c r="AN175" s="30"/>
      <c r="AO175" s="24"/>
      <c r="AP175" s="24"/>
      <c r="AQ175" s="24"/>
      <c r="AR175" s="30">
        <v>13.125999999999999</v>
      </c>
      <c r="AS175" s="30"/>
      <c r="AT175" s="30"/>
      <c r="AU175" s="30"/>
      <c r="AV175" s="30"/>
    </row>
    <row r="176" spans="1:48" s="87" customFormat="1" ht="37.5" customHeight="1" x14ac:dyDescent="0.25">
      <c r="A176" s="26"/>
      <c r="B176" s="26"/>
      <c r="C176" s="70" t="s">
        <v>357</v>
      </c>
      <c r="D176" s="19" t="s">
        <v>358</v>
      </c>
      <c r="E176" s="17">
        <v>41788</v>
      </c>
      <c r="F176" s="18" t="s">
        <v>359</v>
      </c>
      <c r="G176" s="17"/>
      <c r="H176" s="28">
        <v>1</v>
      </c>
      <c r="I176" s="28">
        <v>1</v>
      </c>
      <c r="J176" s="28">
        <v>1</v>
      </c>
      <c r="K176" s="28">
        <v>1</v>
      </c>
      <c r="L176" s="18" t="s">
        <v>45</v>
      </c>
      <c r="M176" s="18" t="s">
        <v>45</v>
      </c>
      <c r="N176" s="18" t="s">
        <v>45</v>
      </c>
      <c r="O176" s="28">
        <v>1</v>
      </c>
      <c r="P176" s="28">
        <v>1</v>
      </c>
      <c r="Q176" s="28">
        <v>1</v>
      </c>
      <c r="R176" s="28">
        <v>1</v>
      </c>
      <c r="S176" s="28">
        <v>1</v>
      </c>
      <c r="T176" s="19" t="s">
        <v>79</v>
      </c>
      <c r="U176" s="20">
        <f t="shared" si="92"/>
        <v>30.978000000000002</v>
      </c>
      <c r="V176" s="20">
        <v>14.103999999999999</v>
      </c>
      <c r="W176" s="20">
        <v>15.169</v>
      </c>
      <c r="X176" s="20">
        <v>1.7050000000000001</v>
      </c>
      <c r="Y176" s="21" t="s">
        <v>136</v>
      </c>
      <c r="Z176" s="22">
        <f>V176+X176</f>
        <v>15.808999999999999</v>
      </c>
      <c r="AA176" s="22">
        <v>15.169</v>
      </c>
      <c r="AB176" s="22">
        <v>0</v>
      </c>
      <c r="AC176" s="22">
        <f t="shared" si="91"/>
        <v>30.978000000000002</v>
      </c>
      <c r="AD176" s="23">
        <f>100+(AC176-20)*2</f>
        <v>121.956</v>
      </c>
      <c r="AE176" s="23">
        <f t="shared" si="69"/>
        <v>62.237794693007942</v>
      </c>
      <c r="AF176" s="23">
        <f t="shared" si="70"/>
        <v>59.718205306992061</v>
      </c>
      <c r="AG176" s="23">
        <f t="shared" si="71"/>
        <v>0</v>
      </c>
      <c r="AH176" s="23">
        <f t="shared" si="72"/>
        <v>16.2608</v>
      </c>
      <c r="AI176" s="23">
        <f t="shared" si="73"/>
        <v>8.1303999999999998</v>
      </c>
      <c r="AJ176" s="23">
        <f t="shared" si="74"/>
        <v>24.391200000000001</v>
      </c>
      <c r="AK176" s="30"/>
      <c r="AL176" s="30"/>
      <c r="AM176" s="30"/>
      <c r="AN176" s="30"/>
      <c r="AO176" s="24"/>
      <c r="AP176" s="24"/>
      <c r="AQ176" s="24"/>
      <c r="AR176" s="30">
        <v>20.9</v>
      </c>
      <c r="AS176" s="30"/>
      <c r="AT176" s="30"/>
      <c r="AU176" s="30"/>
      <c r="AV176" s="30"/>
    </row>
    <row r="177" spans="1:48" s="42" customFormat="1" x14ac:dyDescent="0.3">
      <c r="A177" s="31"/>
      <c r="B177" s="31"/>
      <c r="C177" s="32" t="s">
        <v>52</v>
      </c>
      <c r="D177" s="33"/>
      <c r="E177" s="34"/>
      <c r="F177" s="35"/>
      <c r="G177" s="36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3"/>
      <c r="U177" s="76">
        <f>SUM(U169:U176)</f>
        <v>364.59300000000002</v>
      </c>
      <c r="V177" s="76">
        <f t="shared" ref="V177:AC177" si="93">SUM(V169:V176)</f>
        <v>98.388999999999996</v>
      </c>
      <c r="W177" s="76">
        <f t="shared" si="93"/>
        <v>119.699</v>
      </c>
      <c r="X177" s="76">
        <f t="shared" si="93"/>
        <v>1.7050000000000001</v>
      </c>
      <c r="Y177" s="77">
        <f t="shared" si="93"/>
        <v>366.8</v>
      </c>
      <c r="Z177" s="39">
        <f t="shared" si="93"/>
        <v>250.46200000000005</v>
      </c>
      <c r="AA177" s="39">
        <f t="shared" si="93"/>
        <v>114.10799999999999</v>
      </c>
      <c r="AB177" s="39">
        <f t="shared" si="93"/>
        <v>0</v>
      </c>
      <c r="AC177" s="39">
        <f t="shared" si="93"/>
        <v>364.57</v>
      </c>
      <c r="AD177" s="40">
        <f>280+(AC177-200)*0.1</f>
        <v>296.45699999999999</v>
      </c>
      <c r="AE177" s="40">
        <f t="shared" si="69"/>
        <v>203.6679187371424</v>
      </c>
      <c r="AF177" s="40">
        <f t="shared" si="70"/>
        <v>92.789081262857607</v>
      </c>
      <c r="AG177" s="40">
        <f t="shared" si="71"/>
        <v>0</v>
      </c>
      <c r="AH177" s="40">
        <f t="shared" si="72"/>
        <v>39.5276</v>
      </c>
      <c r="AI177" s="40">
        <f t="shared" si="73"/>
        <v>19.7638</v>
      </c>
      <c r="AJ177" s="40">
        <f t="shared" si="74"/>
        <v>59.291399999999996</v>
      </c>
      <c r="AK177" s="41"/>
      <c r="AL177" s="41"/>
      <c r="AM177" s="41"/>
      <c r="AN177" s="41"/>
      <c r="AO177" s="41"/>
      <c r="AP177" s="41"/>
      <c r="AQ177" s="41"/>
      <c r="AR177" s="41">
        <v>128.63200000000001</v>
      </c>
      <c r="AS177" s="41"/>
      <c r="AT177" s="41"/>
      <c r="AU177" s="41"/>
      <c r="AV177" s="41"/>
    </row>
    <row r="178" spans="1:48" s="25" customFormat="1" ht="19.5" customHeight="1" x14ac:dyDescent="0.3">
      <c r="A178" s="15">
        <v>30</v>
      </c>
      <c r="B178" s="15" t="s">
        <v>360</v>
      </c>
      <c r="C178" s="16" t="s">
        <v>43</v>
      </c>
      <c r="D178" s="19"/>
      <c r="E178" s="17"/>
      <c r="F178" s="18"/>
      <c r="G178" s="17"/>
      <c r="H178" s="18"/>
      <c r="I178" s="18"/>
      <c r="J178" s="18"/>
      <c r="K178" s="18"/>
      <c r="L178" s="18"/>
      <c r="M178" s="43"/>
      <c r="N178" s="18"/>
      <c r="O178" s="18"/>
      <c r="P178" s="18"/>
      <c r="Q178" s="18"/>
      <c r="R178" s="18"/>
      <c r="S178" s="18"/>
      <c r="T178" s="19"/>
      <c r="U178" s="20">
        <v>95.2</v>
      </c>
      <c r="V178" s="20"/>
      <c r="W178" s="20"/>
      <c r="X178" s="20"/>
      <c r="Y178" s="21">
        <v>477.1</v>
      </c>
      <c r="Z178" s="22">
        <v>63.92</v>
      </c>
      <c r="AA178" s="22">
        <f>IF([24]Заяц_беляк!$N$5=0,"",[24]Заяц_беляк!$N$5)</f>
        <v>31.28</v>
      </c>
      <c r="AB178" s="22">
        <v>0</v>
      </c>
      <c r="AC178" s="22">
        <f>IF(SUM(Z178:AB178)=0,"",SUM(Z178:AB178))</f>
        <v>95.2</v>
      </c>
      <c r="AD178" s="23">
        <f t="shared" ref="AD178:AD179" si="94">160+(AC178-50)*0.8</f>
        <v>196.16</v>
      </c>
      <c r="AE178" s="23">
        <f t="shared" si="69"/>
        <v>131.70742857142858</v>
      </c>
      <c r="AF178" s="23">
        <f t="shared" si="70"/>
        <v>64.452571428571432</v>
      </c>
      <c r="AG178" s="23">
        <f t="shared" si="71"/>
        <v>0</v>
      </c>
      <c r="AH178" s="23">
        <f t="shared" si="72"/>
        <v>26.154666666666667</v>
      </c>
      <c r="AI178" s="23">
        <f t="shared" si="73"/>
        <v>13.077333333333334</v>
      </c>
      <c r="AJ178" s="23">
        <f t="shared" si="74"/>
        <v>39.231999999999999</v>
      </c>
      <c r="AK178" s="24"/>
      <c r="AL178" s="24"/>
      <c r="AM178" s="24"/>
      <c r="AN178" s="24"/>
      <c r="AO178" s="24"/>
      <c r="AP178" s="44"/>
      <c r="AQ178" s="24"/>
      <c r="AR178" s="24">
        <v>71.995999999999995</v>
      </c>
      <c r="AS178" s="24"/>
      <c r="AT178" s="24"/>
      <c r="AU178" s="24"/>
      <c r="AV178" s="24"/>
    </row>
    <row r="179" spans="1:48" s="78" customFormat="1" ht="57" customHeight="1" x14ac:dyDescent="0.3">
      <c r="A179" s="26">
        <v>172</v>
      </c>
      <c r="B179" s="26"/>
      <c r="C179" s="16" t="s">
        <v>361</v>
      </c>
      <c r="D179" s="19" t="s">
        <v>362</v>
      </c>
      <c r="E179" s="17">
        <v>41908</v>
      </c>
      <c r="F179" s="18">
        <v>120</v>
      </c>
      <c r="G179" s="17"/>
      <c r="H179" s="28">
        <v>1</v>
      </c>
      <c r="I179" s="28">
        <v>1</v>
      </c>
      <c r="J179" s="28">
        <v>1</v>
      </c>
      <c r="K179" s="28">
        <v>1</v>
      </c>
      <c r="L179" s="28">
        <v>1</v>
      </c>
      <c r="M179" s="43" t="s">
        <v>45</v>
      </c>
      <c r="N179" s="18" t="s">
        <v>45</v>
      </c>
      <c r="O179" s="28">
        <v>1</v>
      </c>
      <c r="P179" s="28">
        <v>1</v>
      </c>
      <c r="Q179" s="28">
        <v>1</v>
      </c>
      <c r="R179" s="28">
        <v>1</v>
      </c>
      <c r="S179" s="28">
        <v>1</v>
      </c>
      <c r="T179" s="19" t="s">
        <v>63</v>
      </c>
      <c r="U179" s="20">
        <f t="shared" si="92"/>
        <v>54.457000000000001</v>
      </c>
      <c r="V179" s="20">
        <v>54.457000000000001</v>
      </c>
      <c r="W179" s="20"/>
      <c r="X179" s="20"/>
      <c r="Y179" s="21"/>
      <c r="Z179" s="50">
        <v>54.457000000000001</v>
      </c>
      <c r="AA179" s="50">
        <v>0</v>
      </c>
      <c r="AB179" s="50">
        <v>0</v>
      </c>
      <c r="AC179" s="50">
        <f>IF(SUM(Z179:AB179)=0,"",SUM(Z179:AB179))</f>
        <v>54.457000000000001</v>
      </c>
      <c r="AD179" s="23">
        <f t="shared" si="94"/>
        <v>163.56559999999999</v>
      </c>
      <c r="AE179" s="23">
        <f t="shared" si="69"/>
        <v>163.56559999999999</v>
      </c>
      <c r="AF179" s="23">
        <f t="shared" si="70"/>
        <v>0</v>
      </c>
      <c r="AG179" s="23">
        <f t="shared" si="71"/>
        <v>0</v>
      </c>
      <c r="AH179" s="23">
        <f t="shared" si="72"/>
        <v>21.808746666666664</v>
      </c>
      <c r="AI179" s="23">
        <f t="shared" si="73"/>
        <v>10.904373333333332</v>
      </c>
      <c r="AJ179" s="23">
        <f t="shared" si="74"/>
        <v>32.713119999999996</v>
      </c>
      <c r="AK179" s="30"/>
      <c r="AL179" s="30"/>
      <c r="AM179" s="30"/>
      <c r="AN179" s="30"/>
      <c r="AO179" s="30"/>
      <c r="AP179" s="44"/>
      <c r="AQ179" s="24"/>
      <c r="AR179" s="30">
        <v>54.457000000000001</v>
      </c>
      <c r="AS179" s="30"/>
      <c r="AT179" s="30"/>
      <c r="AU179" s="30"/>
      <c r="AV179" s="30"/>
    </row>
    <row r="180" spans="1:48" s="78" customFormat="1" ht="36.75" customHeight="1" x14ac:dyDescent="0.3">
      <c r="A180" s="26"/>
      <c r="B180" s="26"/>
      <c r="C180" s="16" t="s">
        <v>321</v>
      </c>
      <c r="D180" s="19" t="s">
        <v>322</v>
      </c>
      <c r="E180" s="17">
        <v>41107</v>
      </c>
      <c r="F180" s="18">
        <v>48</v>
      </c>
      <c r="G180" s="17"/>
      <c r="H180" s="28">
        <v>1</v>
      </c>
      <c r="I180" s="28">
        <v>1</v>
      </c>
      <c r="J180" s="28">
        <v>1</v>
      </c>
      <c r="K180" s="28">
        <v>1</v>
      </c>
      <c r="L180" s="18" t="s">
        <v>45</v>
      </c>
      <c r="M180" s="43" t="s">
        <v>45</v>
      </c>
      <c r="N180" s="18" t="s">
        <v>45</v>
      </c>
      <c r="O180" s="28">
        <v>1</v>
      </c>
      <c r="P180" s="28">
        <v>1</v>
      </c>
      <c r="Q180" s="28">
        <v>1</v>
      </c>
      <c r="R180" s="18" t="s">
        <v>45</v>
      </c>
      <c r="S180" s="28">
        <v>1</v>
      </c>
      <c r="T180" s="19" t="s">
        <v>156</v>
      </c>
      <c r="U180" s="20">
        <f t="shared" si="92"/>
        <v>8.5129999999999999</v>
      </c>
      <c r="V180" s="20">
        <v>8.5129999999999999</v>
      </c>
      <c r="W180" s="20"/>
      <c r="X180" s="20"/>
      <c r="Y180" s="21"/>
      <c r="Z180" s="50">
        <v>8.5129999999999999</v>
      </c>
      <c r="AA180" s="50">
        <v>0</v>
      </c>
      <c r="AB180" s="50">
        <v>0</v>
      </c>
      <c r="AC180" s="50">
        <f>IF(SUM(Z180:AB180)=0,"",SUM(Z180:AB180))</f>
        <v>8.5129999999999999</v>
      </c>
      <c r="AD180" s="59"/>
      <c r="AE180" s="23"/>
      <c r="AF180" s="23"/>
      <c r="AG180" s="23"/>
      <c r="AH180" s="23"/>
      <c r="AI180" s="23"/>
      <c r="AJ180" s="23"/>
      <c r="AK180" s="30"/>
      <c r="AL180" s="30"/>
      <c r="AM180" s="30"/>
      <c r="AN180" s="30"/>
      <c r="AO180" s="24"/>
      <c r="AP180" s="44"/>
      <c r="AQ180" s="24"/>
      <c r="AR180" s="30">
        <v>8.5129999999999999</v>
      </c>
      <c r="AS180" s="30"/>
      <c r="AT180" s="30"/>
      <c r="AU180" s="24"/>
      <c r="AV180" s="30"/>
    </row>
    <row r="181" spans="1:48" s="25" customFormat="1" ht="36" customHeight="1" x14ac:dyDescent="0.3">
      <c r="A181" s="26">
        <v>173</v>
      </c>
      <c r="B181" s="26"/>
      <c r="C181" s="16" t="s">
        <v>363</v>
      </c>
      <c r="D181" s="19"/>
      <c r="E181" s="17">
        <v>41831</v>
      </c>
      <c r="F181" s="18">
        <v>106</v>
      </c>
      <c r="G181" s="17"/>
      <c r="H181" s="28">
        <v>1</v>
      </c>
      <c r="I181" s="28">
        <v>1</v>
      </c>
      <c r="J181" s="28">
        <v>1</v>
      </c>
      <c r="K181" s="28">
        <v>1</v>
      </c>
      <c r="L181" s="18" t="s">
        <v>45</v>
      </c>
      <c r="M181" s="43" t="s">
        <v>45</v>
      </c>
      <c r="N181" s="18" t="s">
        <v>45</v>
      </c>
      <c r="O181" s="28">
        <v>1</v>
      </c>
      <c r="P181" s="28">
        <v>1</v>
      </c>
      <c r="Q181" s="28">
        <v>1</v>
      </c>
      <c r="R181" s="18" t="s">
        <v>45</v>
      </c>
      <c r="S181" s="18" t="s">
        <v>45</v>
      </c>
      <c r="T181" s="19" t="s">
        <v>70</v>
      </c>
      <c r="U181" s="20">
        <f t="shared" si="92"/>
        <v>48.823999999999998</v>
      </c>
      <c r="V181" s="20">
        <v>48.823999999999998</v>
      </c>
      <c r="W181" s="20"/>
      <c r="X181" s="20"/>
      <c r="Y181" s="21"/>
      <c r="Z181" s="50">
        <v>48.823999999999998</v>
      </c>
      <c r="AA181" s="50">
        <v>0</v>
      </c>
      <c r="AB181" s="50">
        <v>0</v>
      </c>
      <c r="AC181" s="50">
        <f t="shared" ref="AC181:AC189" si="95">IF(SUM(Z181:AB181)=0,"",SUM(Z181:AB181))</f>
        <v>48.823999999999998</v>
      </c>
      <c r="AD181" s="23">
        <f t="shared" ref="AD181:AD182" si="96">100+(AC181-20)*2</f>
        <v>157.648</v>
      </c>
      <c r="AE181" s="23">
        <f t="shared" si="69"/>
        <v>157.648</v>
      </c>
      <c r="AF181" s="23">
        <f t="shared" si="70"/>
        <v>0</v>
      </c>
      <c r="AG181" s="23">
        <f t="shared" si="71"/>
        <v>0</v>
      </c>
      <c r="AH181" s="23">
        <f t="shared" si="72"/>
        <v>21.019733333333331</v>
      </c>
      <c r="AI181" s="23">
        <f t="shared" si="73"/>
        <v>10.509866666666666</v>
      </c>
      <c r="AJ181" s="23">
        <f t="shared" si="74"/>
        <v>31.529599999999999</v>
      </c>
      <c r="AK181" s="30"/>
      <c r="AL181" s="30"/>
      <c r="AM181" s="30"/>
      <c r="AN181" s="30"/>
      <c r="AO181" s="24"/>
      <c r="AP181" s="44"/>
      <c r="AQ181" s="24"/>
      <c r="AR181" s="30">
        <v>48.823999999999998</v>
      </c>
      <c r="AS181" s="30"/>
      <c r="AT181" s="30"/>
      <c r="AU181" s="24"/>
      <c r="AV181" s="24"/>
    </row>
    <row r="182" spans="1:48" s="25" customFormat="1" ht="36" customHeight="1" x14ac:dyDescent="0.3">
      <c r="A182" s="26">
        <v>175</v>
      </c>
      <c r="B182" s="26"/>
      <c r="C182" s="16" t="s">
        <v>364</v>
      </c>
      <c r="D182" s="19" t="s">
        <v>365</v>
      </c>
      <c r="E182" s="17">
        <v>41694</v>
      </c>
      <c r="F182" s="18" t="s">
        <v>366</v>
      </c>
      <c r="G182" s="17"/>
      <c r="H182" s="28">
        <v>1</v>
      </c>
      <c r="I182" s="28">
        <v>1</v>
      </c>
      <c r="J182" s="28">
        <v>1</v>
      </c>
      <c r="K182" s="28">
        <v>1</v>
      </c>
      <c r="L182" s="28">
        <v>1</v>
      </c>
      <c r="M182" s="43" t="s">
        <v>45</v>
      </c>
      <c r="N182" s="18" t="s">
        <v>45</v>
      </c>
      <c r="O182" s="28">
        <v>1</v>
      </c>
      <c r="P182" s="18" t="s">
        <v>45</v>
      </c>
      <c r="Q182" s="28">
        <v>1</v>
      </c>
      <c r="R182" s="18" t="s">
        <v>45</v>
      </c>
      <c r="S182" s="18" t="s">
        <v>45</v>
      </c>
      <c r="T182" s="19" t="s">
        <v>367</v>
      </c>
      <c r="U182" s="20">
        <f t="shared" si="92"/>
        <v>46.177</v>
      </c>
      <c r="V182" s="20">
        <v>46.177</v>
      </c>
      <c r="W182" s="20"/>
      <c r="X182" s="20"/>
      <c r="Y182" s="21" t="s">
        <v>368</v>
      </c>
      <c r="Z182" s="29">
        <v>46.177</v>
      </c>
      <c r="AA182" s="29">
        <v>0</v>
      </c>
      <c r="AB182" s="29">
        <v>0</v>
      </c>
      <c r="AC182" s="29">
        <f t="shared" si="95"/>
        <v>46.177</v>
      </c>
      <c r="AD182" s="23">
        <f t="shared" si="96"/>
        <v>152.35399999999998</v>
      </c>
      <c r="AE182" s="23">
        <f t="shared" si="69"/>
        <v>152.35399999999998</v>
      </c>
      <c r="AF182" s="23">
        <f t="shared" si="70"/>
        <v>0</v>
      </c>
      <c r="AG182" s="23">
        <f t="shared" si="71"/>
        <v>0</v>
      </c>
      <c r="AH182" s="23">
        <f t="shared" si="72"/>
        <v>20.313866666666666</v>
      </c>
      <c r="AI182" s="23">
        <f t="shared" si="73"/>
        <v>10.156933333333333</v>
      </c>
      <c r="AJ182" s="23">
        <f t="shared" si="74"/>
        <v>30.470799999999997</v>
      </c>
      <c r="AK182" s="30"/>
      <c r="AL182" s="30"/>
      <c r="AM182" s="30"/>
      <c r="AN182" s="30"/>
      <c r="AO182" s="30"/>
      <c r="AP182" s="44"/>
      <c r="AQ182" s="24"/>
      <c r="AR182" s="30">
        <v>46.177</v>
      </c>
      <c r="AS182" s="24"/>
      <c r="AT182" s="30"/>
      <c r="AU182" s="24"/>
      <c r="AV182" s="24"/>
    </row>
    <row r="183" spans="1:48" s="25" customFormat="1" ht="36" customHeight="1" x14ac:dyDescent="0.3">
      <c r="A183" s="26"/>
      <c r="B183" s="26"/>
      <c r="C183" s="16" t="s">
        <v>369</v>
      </c>
      <c r="D183" s="19" t="s">
        <v>370</v>
      </c>
      <c r="E183" s="17">
        <v>41873</v>
      </c>
      <c r="F183" s="18">
        <v>111</v>
      </c>
      <c r="G183" s="17"/>
      <c r="H183" s="28">
        <v>1</v>
      </c>
      <c r="I183" s="28">
        <v>1</v>
      </c>
      <c r="J183" s="28">
        <v>1</v>
      </c>
      <c r="K183" s="28">
        <v>1</v>
      </c>
      <c r="L183" s="18" t="s">
        <v>45</v>
      </c>
      <c r="M183" s="43" t="s">
        <v>45</v>
      </c>
      <c r="N183" s="18" t="s">
        <v>45</v>
      </c>
      <c r="O183" s="28">
        <v>1</v>
      </c>
      <c r="P183" s="28">
        <v>1</v>
      </c>
      <c r="Q183" s="28">
        <v>1</v>
      </c>
      <c r="R183" s="18" t="s">
        <v>45</v>
      </c>
      <c r="S183" s="28">
        <v>1</v>
      </c>
      <c r="T183" s="19" t="s">
        <v>156</v>
      </c>
      <c r="U183" s="20">
        <f t="shared" si="92"/>
        <v>12.96</v>
      </c>
      <c r="V183" s="20">
        <v>12.96</v>
      </c>
      <c r="W183" s="20"/>
      <c r="X183" s="20"/>
      <c r="Y183" s="21"/>
      <c r="Z183" s="29">
        <v>12.96</v>
      </c>
      <c r="AA183" s="29">
        <v>0</v>
      </c>
      <c r="AB183" s="29">
        <v>0</v>
      </c>
      <c r="AC183" s="29">
        <f t="shared" si="95"/>
        <v>12.96</v>
      </c>
      <c r="AD183" s="23">
        <f>50+(AC183-10)*5</f>
        <v>64.800000000000011</v>
      </c>
      <c r="AE183" s="23">
        <f t="shared" si="69"/>
        <v>64.800000000000011</v>
      </c>
      <c r="AF183" s="23">
        <f t="shared" si="70"/>
        <v>0</v>
      </c>
      <c r="AG183" s="23">
        <f t="shared" si="71"/>
        <v>0</v>
      </c>
      <c r="AH183" s="23">
        <f t="shared" si="72"/>
        <v>8.6400000000000023</v>
      </c>
      <c r="AI183" s="23">
        <f t="shared" si="73"/>
        <v>4.3200000000000012</v>
      </c>
      <c r="AJ183" s="23">
        <f t="shared" si="74"/>
        <v>12.960000000000003</v>
      </c>
      <c r="AK183" s="30"/>
      <c r="AL183" s="30"/>
      <c r="AM183" s="30"/>
      <c r="AN183" s="30"/>
      <c r="AO183" s="24"/>
      <c r="AP183" s="44"/>
      <c r="AQ183" s="24"/>
      <c r="AR183" s="30">
        <v>12.96</v>
      </c>
      <c r="AS183" s="30"/>
      <c r="AT183" s="30"/>
      <c r="AU183" s="24"/>
      <c r="AV183" s="30"/>
    </row>
    <row r="184" spans="1:48" s="25" customFormat="1" ht="52.5" customHeight="1" collapsed="1" x14ac:dyDescent="0.3">
      <c r="A184" s="26">
        <v>177</v>
      </c>
      <c r="B184" s="26"/>
      <c r="C184" s="16" t="s">
        <v>371</v>
      </c>
      <c r="D184" s="19" t="s">
        <v>372</v>
      </c>
      <c r="E184" s="17">
        <v>41795</v>
      </c>
      <c r="F184" s="18">
        <v>101</v>
      </c>
      <c r="G184" s="17"/>
      <c r="H184" s="28">
        <v>1</v>
      </c>
      <c r="I184" s="28">
        <v>1</v>
      </c>
      <c r="J184" s="28">
        <v>1</v>
      </c>
      <c r="K184" s="18" t="s">
        <v>45</v>
      </c>
      <c r="L184" s="18" t="s">
        <v>45</v>
      </c>
      <c r="M184" s="43" t="s">
        <v>45</v>
      </c>
      <c r="N184" s="18" t="s">
        <v>45</v>
      </c>
      <c r="O184" s="28">
        <v>1</v>
      </c>
      <c r="P184" s="28">
        <v>1</v>
      </c>
      <c r="Q184" s="28">
        <v>1</v>
      </c>
      <c r="R184" s="28">
        <v>1</v>
      </c>
      <c r="S184" s="28">
        <v>1</v>
      </c>
      <c r="T184" s="19" t="s">
        <v>180</v>
      </c>
      <c r="U184" s="20">
        <f t="shared" si="92"/>
        <v>99.98299999999999</v>
      </c>
      <c r="V184" s="20">
        <v>41.095999999999997</v>
      </c>
      <c r="W184" s="20">
        <v>57.210999999999999</v>
      </c>
      <c r="X184" s="20">
        <v>1.6759999999999999</v>
      </c>
      <c r="Y184" s="21" t="s">
        <v>136</v>
      </c>
      <c r="Z184" s="22">
        <f>V184+X184-AB184</f>
        <v>42.271999999999998</v>
      </c>
      <c r="AA184" s="22">
        <v>57.210999999999999</v>
      </c>
      <c r="AB184" s="22">
        <f>IF([25]Заяц_беляк!$O$5=0,"",[25]Заяц_беляк!$O$5)</f>
        <v>0.5</v>
      </c>
      <c r="AC184" s="22">
        <f t="shared" si="95"/>
        <v>99.983000000000004</v>
      </c>
      <c r="AD184" s="23">
        <f>160+(AC184-50)*0.8</f>
        <v>199.9864</v>
      </c>
      <c r="AE184" s="23">
        <f t="shared" si="69"/>
        <v>84.552624954242219</v>
      </c>
      <c r="AF184" s="23">
        <f t="shared" si="70"/>
        <v>114.43367302841483</v>
      </c>
      <c r="AG184" s="23">
        <f t="shared" si="71"/>
        <v>1.0001020173429482</v>
      </c>
      <c r="AH184" s="23">
        <f t="shared" si="72"/>
        <v>26.664853333333333</v>
      </c>
      <c r="AI184" s="23">
        <f t="shared" si="73"/>
        <v>13.332426666666667</v>
      </c>
      <c r="AJ184" s="23">
        <f t="shared" si="74"/>
        <v>39.997280000000003</v>
      </c>
      <c r="AK184" s="30"/>
      <c r="AL184" s="30"/>
      <c r="AM184" s="30"/>
      <c r="AN184" s="24"/>
      <c r="AO184" s="24"/>
      <c r="AP184" s="44"/>
      <c r="AQ184" s="24"/>
      <c r="AR184" s="30">
        <v>31.7</v>
      </c>
      <c r="AS184" s="30"/>
      <c r="AT184" s="30"/>
      <c r="AU184" s="30"/>
      <c r="AV184" s="30"/>
    </row>
    <row r="185" spans="1:48" s="25" customFormat="1" ht="36.75" customHeight="1" x14ac:dyDescent="0.3">
      <c r="A185" s="26"/>
      <c r="B185" s="26"/>
      <c r="C185" s="16" t="s">
        <v>373</v>
      </c>
      <c r="D185" s="19"/>
      <c r="E185" s="17">
        <v>41415</v>
      </c>
      <c r="F185" s="18">
        <v>61</v>
      </c>
      <c r="G185" s="17"/>
      <c r="H185" s="28">
        <v>1</v>
      </c>
      <c r="I185" s="28">
        <v>1</v>
      </c>
      <c r="J185" s="28">
        <v>1</v>
      </c>
      <c r="K185" s="28">
        <v>1</v>
      </c>
      <c r="L185" s="18" t="s">
        <v>45</v>
      </c>
      <c r="M185" s="43" t="s">
        <v>45</v>
      </c>
      <c r="N185" s="18" t="s">
        <v>45</v>
      </c>
      <c r="O185" s="28">
        <v>1</v>
      </c>
      <c r="P185" s="28">
        <v>1</v>
      </c>
      <c r="Q185" s="28">
        <v>1</v>
      </c>
      <c r="R185" s="28">
        <v>1</v>
      </c>
      <c r="S185" s="18" t="s">
        <v>45</v>
      </c>
      <c r="T185" s="19" t="s">
        <v>101</v>
      </c>
      <c r="U185" s="20">
        <f t="shared" si="92"/>
        <v>12.313000000000001</v>
      </c>
      <c r="V185" s="20">
        <v>12.313000000000001</v>
      </c>
      <c r="W185" s="20"/>
      <c r="X185" s="20"/>
      <c r="Y185" s="21"/>
      <c r="Z185" s="29">
        <v>12.313000000000001</v>
      </c>
      <c r="AA185" s="29">
        <v>0</v>
      </c>
      <c r="AB185" s="29">
        <v>0</v>
      </c>
      <c r="AC185" s="29">
        <f t="shared" si="95"/>
        <v>12.313000000000001</v>
      </c>
      <c r="AD185" s="23">
        <f t="shared" ref="AD185:AD186" si="97">50+(AC185-10)*5</f>
        <v>61.565000000000005</v>
      </c>
      <c r="AE185" s="23">
        <f t="shared" si="69"/>
        <v>61.565000000000005</v>
      </c>
      <c r="AF185" s="23">
        <f t="shared" si="70"/>
        <v>0</v>
      </c>
      <c r="AG185" s="23">
        <f t="shared" si="71"/>
        <v>0</v>
      </c>
      <c r="AH185" s="23">
        <f t="shared" si="72"/>
        <v>8.2086666666666677</v>
      </c>
      <c r="AI185" s="23">
        <f t="shared" si="73"/>
        <v>4.1043333333333338</v>
      </c>
      <c r="AJ185" s="23">
        <f t="shared" si="74"/>
        <v>12.313000000000001</v>
      </c>
      <c r="AK185" s="30"/>
      <c r="AL185" s="30"/>
      <c r="AM185" s="30"/>
      <c r="AN185" s="30"/>
      <c r="AO185" s="24"/>
      <c r="AP185" s="44"/>
      <c r="AQ185" s="24"/>
      <c r="AR185" s="30">
        <v>12.313000000000001</v>
      </c>
      <c r="AS185" s="30"/>
      <c r="AT185" s="30"/>
      <c r="AU185" s="30"/>
      <c r="AV185" s="24"/>
    </row>
    <row r="186" spans="1:48" s="25" customFormat="1" ht="34.5" customHeight="1" x14ac:dyDescent="0.3">
      <c r="A186" s="26"/>
      <c r="B186" s="26"/>
      <c r="C186" s="16" t="s">
        <v>374</v>
      </c>
      <c r="D186" s="19"/>
      <c r="E186" s="17">
        <v>41603</v>
      </c>
      <c r="F186" s="18">
        <v>77</v>
      </c>
      <c r="G186" s="17"/>
      <c r="H186" s="28">
        <v>1</v>
      </c>
      <c r="I186" s="18" t="s">
        <v>45</v>
      </c>
      <c r="J186" s="28">
        <v>1</v>
      </c>
      <c r="K186" s="28">
        <v>1</v>
      </c>
      <c r="L186" s="18" t="s">
        <v>45</v>
      </c>
      <c r="M186" s="43" t="s">
        <v>45</v>
      </c>
      <c r="N186" s="18" t="s">
        <v>45</v>
      </c>
      <c r="O186" s="28">
        <v>1</v>
      </c>
      <c r="P186" s="18" t="s">
        <v>45</v>
      </c>
      <c r="Q186" s="28">
        <v>1</v>
      </c>
      <c r="R186" s="18" t="s">
        <v>45</v>
      </c>
      <c r="S186" s="18" t="s">
        <v>45</v>
      </c>
      <c r="T186" s="19" t="s">
        <v>375</v>
      </c>
      <c r="U186" s="20">
        <f t="shared" si="92"/>
        <v>12.323</v>
      </c>
      <c r="V186" s="20">
        <v>12.323</v>
      </c>
      <c r="W186" s="20"/>
      <c r="X186" s="20"/>
      <c r="Y186" s="21"/>
      <c r="Z186" s="29">
        <v>12.323</v>
      </c>
      <c r="AA186" s="29">
        <v>0</v>
      </c>
      <c r="AB186" s="29">
        <v>0</v>
      </c>
      <c r="AC186" s="29">
        <f t="shared" si="95"/>
        <v>12.323</v>
      </c>
      <c r="AD186" s="23">
        <f t="shared" si="97"/>
        <v>61.615000000000002</v>
      </c>
      <c r="AE186" s="23">
        <f t="shared" si="69"/>
        <v>61.615000000000002</v>
      </c>
      <c r="AF186" s="23">
        <f t="shared" si="70"/>
        <v>0</v>
      </c>
      <c r="AG186" s="23">
        <f t="shared" si="71"/>
        <v>0</v>
      </c>
      <c r="AH186" s="23">
        <f t="shared" si="72"/>
        <v>8.2153333333333336</v>
      </c>
      <c r="AI186" s="23">
        <f t="shared" si="73"/>
        <v>4.1076666666666668</v>
      </c>
      <c r="AJ186" s="23">
        <f t="shared" si="74"/>
        <v>12.323</v>
      </c>
      <c r="AK186" s="30"/>
      <c r="AL186" s="24"/>
      <c r="AM186" s="30"/>
      <c r="AN186" s="30"/>
      <c r="AO186" s="24"/>
      <c r="AP186" s="44"/>
      <c r="AQ186" s="24"/>
      <c r="AR186" s="30"/>
      <c r="AS186" s="24"/>
      <c r="AT186" s="30"/>
      <c r="AU186" s="24"/>
      <c r="AV186" s="24"/>
    </row>
    <row r="187" spans="1:48" s="25" customFormat="1" ht="18.75" customHeight="1" x14ac:dyDescent="0.3">
      <c r="A187" s="26">
        <v>180</v>
      </c>
      <c r="B187" s="26"/>
      <c r="C187" s="16" t="s">
        <v>376</v>
      </c>
      <c r="D187" s="19" t="s">
        <v>377</v>
      </c>
      <c r="E187" s="17">
        <v>41430</v>
      </c>
      <c r="F187" s="18">
        <v>62</v>
      </c>
      <c r="G187" s="17"/>
      <c r="H187" s="28">
        <v>1</v>
      </c>
      <c r="I187" s="28">
        <v>1</v>
      </c>
      <c r="J187" s="28">
        <v>1</v>
      </c>
      <c r="K187" s="18" t="s">
        <v>45</v>
      </c>
      <c r="L187" s="18" t="s">
        <v>45</v>
      </c>
      <c r="M187" s="43" t="s">
        <v>45</v>
      </c>
      <c r="N187" s="18" t="s">
        <v>45</v>
      </c>
      <c r="O187" s="28">
        <v>1</v>
      </c>
      <c r="P187" s="28">
        <v>1</v>
      </c>
      <c r="Q187" s="28">
        <v>1</v>
      </c>
      <c r="R187" s="28">
        <v>1</v>
      </c>
      <c r="S187" s="28">
        <v>1</v>
      </c>
      <c r="T187" s="19" t="s">
        <v>180</v>
      </c>
      <c r="U187" s="20">
        <f t="shared" si="92"/>
        <v>37.094999999999999</v>
      </c>
      <c r="V187" s="20">
        <v>37.094999999999999</v>
      </c>
      <c r="W187" s="20"/>
      <c r="X187" s="20"/>
      <c r="Y187" s="21"/>
      <c r="Z187" s="22">
        <v>37.094999999999999</v>
      </c>
      <c r="AA187" s="22">
        <v>0</v>
      </c>
      <c r="AB187" s="22">
        <v>0</v>
      </c>
      <c r="AC187" s="22">
        <f t="shared" si="95"/>
        <v>37.094999999999999</v>
      </c>
      <c r="AD187" s="23">
        <f>100+(AC187-20)*2</f>
        <v>134.19</v>
      </c>
      <c r="AE187" s="23">
        <f t="shared" si="69"/>
        <v>134.19</v>
      </c>
      <c r="AF187" s="23">
        <f t="shared" si="70"/>
        <v>0</v>
      </c>
      <c r="AG187" s="23">
        <f t="shared" si="71"/>
        <v>0</v>
      </c>
      <c r="AH187" s="23">
        <f t="shared" si="72"/>
        <v>17.891999999999999</v>
      </c>
      <c r="AI187" s="23">
        <f t="shared" si="73"/>
        <v>8.9459999999999997</v>
      </c>
      <c r="AJ187" s="23">
        <f t="shared" si="74"/>
        <v>26.838000000000001</v>
      </c>
      <c r="AK187" s="30"/>
      <c r="AL187" s="30"/>
      <c r="AM187" s="30"/>
      <c r="AN187" s="24"/>
      <c r="AO187" s="24"/>
      <c r="AP187" s="44"/>
      <c r="AQ187" s="24"/>
      <c r="AR187" s="30">
        <v>37.094999999999999</v>
      </c>
      <c r="AS187" s="30"/>
      <c r="AT187" s="30"/>
      <c r="AU187" s="30"/>
      <c r="AV187" s="30"/>
    </row>
    <row r="188" spans="1:48" s="25" customFormat="1" ht="37.5" customHeight="1" x14ac:dyDescent="0.3">
      <c r="A188" s="26">
        <v>181</v>
      </c>
      <c r="B188" s="26"/>
      <c r="C188" s="16" t="s">
        <v>123</v>
      </c>
      <c r="D188" s="19" t="s">
        <v>124</v>
      </c>
      <c r="E188" s="17">
        <v>41408</v>
      </c>
      <c r="F188" s="18">
        <v>63</v>
      </c>
      <c r="G188" s="17"/>
      <c r="H188" s="28">
        <v>1</v>
      </c>
      <c r="I188" s="28">
        <v>1</v>
      </c>
      <c r="J188" s="28">
        <v>1</v>
      </c>
      <c r="K188" s="18" t="s">
        <v>45</v>
      </c>
      <c r="L188" s="18" t="s">
        <v>45</v>
      </c>
      <c r="M188" s="43" t="s">
        <v>45</v>
      </c>
      <c r="N188" s="18" t="s">
        <v>45</v>
      </c>
      <c r="O188" s="28">
        <v>1</v>
      </c>
      <c r="P188" s="28">
        <v>1</v>
      </c>
      <c r="Q188" s="28">
        <v>1</v>
      </c>
      <c r="R188" s="28">
        <v>1</v>
      </c>
      <c r="S188" s="28">
        <v>1</v>
      </c>
      <c r="T188" s="19" t="s">
        <v>180</v>
      </c>
      <c r="U188" s="20">
        <f t="shared" si="92"/>
        <v>13.483000000000001</v>
      </c>
      <c r="V188" s="20">
        <v>13.483000000000001</v>
      </c>
      <c r="W188" s="20"/>
      <c r="X188" s="20"/>
      <c r="Y188" s="21"/>
      <c r="Z188" s="29">
        <f>IF([26]Заяц_беляк!$M$5=0,"",[26]Заяц_беляк!$M$5)</f>
        <v>13.48</v>
      </c>
      <c r="AA188" s="29">
        <v>0</v>
      </c>
      <c r="AB188" s="29">
        <v>0</v>
      </c>
      <c r="AC188" s="29">
        <f t="shared" si="95"/>
        <v>13.48</v>
      </c>
      <c r="AD188" s="23">
        <f>50+(AC188-10)*5</f>
        <v>67.400000000000006</v>
      </c>
      <c r="AE188" s="23">
        <f t="shared" si="69"/>
        <v>67.400000000000006</v>
      </c>
      <c r="AF188" s="23">
        <f t="shared" si="70"/>
        <v>0</v>
      </c>
      <c r="AG188" s="23">
        <f t="shared" si="71"/>
        <v>0</v>
      </c>
      <c r="AH188" s="23">
        <f t="shared" si="72"/>
        <v>8.9866666666666681</v>
      </c>
      <c r="AI188" s="23">
        <f t="shared" si="73"/>
        <v>4.4933333333333341</v>
      </c>
      <c r="AJ188" s="23">
        <f t="shared" si="74"/>
        <v>13.48</v>
      </c>
      <c r="AK188" s="30"/>
      <c r="AL188" s="30"/>
      <c r="AM188" s="30"/>
      <c r="AN188" s="24"/>
      <c r="AO188" s="24"/>
      <c r="AP188" s="44"/>
      <c r="AQ188" s="24"/>
      <c r="AR188" s="30">
        <v>13.483000000000001</v>
      </c>
      <c r="AS188" s="30"/>
      <c r="AT188" s="30"/>
      <c r="AU188" s="30"/>
      <c r="AV188" s="30"/>
    </row>
    <row r="189" spans="1:48" s="25" customFormat="1" ht="34.5" customHeight="1" collapsed="1" x14ac:dyDescent="0.3">
      <c r="A189" s="26">
        <v>182</v>
      </c>
      <c r="B189" s="26"/>
      <c r="C189" s="16" t="s">
        <v>378</v>
      </c>
      <c r="D189" s="19" t="s">
        <v>379</v>
      </c>
      <c r="E189" s="17">
        <v>40571</v>
      </c>
      <c r="F189" s="18">
        <v>2</v>
      </c>
      <c r="G189" s="17"/>
      <c r="H189" s="28">
        <v>1</v>
      </c>
      <c r="I189" s="28">
        <v>1</v>
      </c>
      <c r="J189" s="28">
        <v>1</v>
      </c>
      <c r="K189" s="28">
        <v>1</v>
      </c>
      <c r="L189" s="18" t="s">
        <v>45</v>
      </c>
      <c r="M189" s="43" t="s">
        <v>45</v>
      </c>
      <c r="N189" s="18" t="s">
        <v>45</v>
      </c>
      <c r="O189" s="28">
        <v>1</v>
      </c>
      <c r="P189" s="28">
        <v>1</v>
      </c>
      <c r="Q189" s="28">
        <v>1</v>
      </c>
      <c r="R189" s="18" t="s">
        <v>45</v>
      </c>
      <c r="S189" s="28">
        <v>1</v>
      </c>
      <c r="T189" s="19" t="s">
        <v>156</v>
      </c>
      <c r="U189" s="20">
        <f t="shared" si="92"/>
        <v>35.256</v>
      </c>
      <c r="V189" s="20">
        <v>35.256</v>
      </c>
      <c r="W189" s="20"/>
      <c r="X189" s="20"/>
      <c r="Y189" s="21"/>
      <c r="Z189" s="29">
        <f>IF([27]Заяц_беляк!$M$5=0,"",[27]Заяц_беляк!$M$5)</f>
        <v>35.26</v>
      </c>
      <c r="AA189" s="29">
        <v>0</v>
      </c>
      <c r="AB189" s="29">
        <v>0</v>
      </c>
      <c r="AC189" s="29">
        <f t="shared" si="95"/>
        <v>35.26</v>
      </c>
      <c r="AD189" s="23">
        <f>100+(AC189-20)*2</f>
        <v>130.51999999999998</v>
      </c>
      <c r="AE189" s="23">
        <f t="shared" si="69"/>
        <v>130.51999999999998</v>
      </c>
      <c r="AF189" s="23">
        <f t="shared" si="70"/>
        <v>0</v>
      </c>
      <c r="AG189" s="23">
        <f t="shared" si="71"/>
        <v>0</v>
      </c>
      <c r="AH189" s="23">
        <f t="shared" si="72"/>
        <v>17.402666666666665</v>
      </c>
      <c r="AI189" s="23">
        <f t="shared" si="73"/>
        <v>8.7013333333333325</v>
      </c>
      <c r="AJ189" s="23">
        <f t="shared" si="74"/>
        <v>26.103999999999996</v>
      </c>
      <c r="AK189" s="30"/>
      <c r="AL189" s="30"/>
      <c r="AM189" s="30"/>
      <c r="AN189" s="30"/>
      <c r="AO189" s="24"/>
      <c r="AP189" s="44"/>
      <c r="AQ189" s="24"/>
      <c r="AR189" s="30">
        <v>35.256</v>
      </c>
      <c r="AS189" s="30"/>
      <c r="AT189" s="30"/>
      <c r="AU189" s="24"/>
      <c r="AV189" s="30"/>
    </row>
    <row r="190" spans="1:48" s="42" customFormat="1" x14ac:dyDescent="0.3">
      <c r="A190" s="31"/>
      <c r="B190" s="31"/>
      <c r="C190" s="32" t="s">
        <v>52</v>
      </c>
      <c r="D190" s="33"/>
      <c r="E190" s="34"/>
      <c r="F190" s="35"/>
      <c r="G190" s="36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3"/>
      <c r="U190" s="76">
        <f>SUM(U178:U189)</f>
        <v>476.58400000000006</v>
      </c>
      <c r="V190" s="76">
        <f t="shared" ref="V190:AC190" si="98">SUM(V178:V189)</f>
        <v>322.49700000000007</v>
      </c>
      <c r="W190" s="76">
        <f t="shared" si="98"/>
        <v>57.210999999999999</v>
      </c>
      <c r="X190" s="76">
        <f t="shared" si="98"/>
        <v>1.6759999999999999</v>
      </c>
      <c r="Y190" s="77">
        <f t="shared" si="98"/>
        <v>477.1</v>
      </c>
      <c r="Z190" s="39">
        <f t="shared" si="98"/>
        <v>387.59399999999994</v>
      </c>
      <c r="AA190" s="39">
        <f t="shared" si="98"/>
        <v>88.491</v>
      </c>
      <c r="AB190" s="39">
        <f t="shared" si="98"/>
        <v>0.5</v>
      </c>
      <c r="AC190" s="39">
        <f t="shared" si="98"/>
        <v>476.58500000000004</v>
      </c>
      <c r="AD190" s="40">
        <f>280+(AC190-200)*0.1</f>
        <v>307.6585</v>
      </c>
      <c r="AE190" s="40">
        <f t="shared" si="69"/>
        <v>250.21053673321649</v>
      </c>
      <c r="AF190" s="40">
        <f t="shared" si="70"/>
        <v>57.125189260048053</v>
      </c>
      <c r="AG190" s="40">
        <f t="shared" si="71"/>
        <v>0.32277400673541967</v>
      </c>
      <c r="AH190" s="40">
        <f t="shared" si="72"/>
        <v>41.021133333333331</v>
      </c>
      <c r="AI190" s="40">
        <f t="shared" si="73"/>
        <v>20.510566666666666</v>
      </c>
      <c r="AJ190" s="40">
        <f t="shared" si="74"/>
        <v>61.531700000000001</v>
      </c>
      <c r="AK190" s="41"/>
      <c r="AL190" s="41"/>
      <c r="AM190" s="41"/>
      <c r="AN190" s="41"/>
      <c r="AO190" s="41"/>
      <c r="AP190" s="41"/>
      <c r="AQ190" s="41"/>
      <c r="AR190" s="41">
        <v>372.774</v>
      </c>
      <c r="AS190" s="41"/>
      <c r="AT190" s="41"/>
      <c r="AU190" s="41"/>
      <c r="AV190" s="41"/>
    </row>
    <row r="191" spans="1:48" s="25" customFormat="1" ht="19.5" customHeight="1" x14ac:dyDescent="0.3">
      <c r="A191" s="15">
        <v>31</v>
      </c>
      <c r="B191" s="15" t="s">
        <v>380</v>
      </c>
      <c r="C191" s="16" t="s">
        <v>43</v>
      </c>
      <c r="D191" s="19"/>
      <c r="E191" s="17"/>
      <c r="F191" s="18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9"/>
      <c r="U191" s="20">
        <v>139.19999999999999</v>
      </c>
      <c r="V191" s="20"/>
      <c r="W191" s="20"/>
      <c r="X191" s="20"/>
      <c r="Y191" s="21">
        <v>615.1</v>
      </c>
      <c r="Z191" s="22">
        <v>139.19999999999999</v>
      </c>
      <c r="AA191" s="22"/>
      <c r="AB191" s="22"/>
      <c r="AC191" s="22">
        <f>IF(SUM(Z191:AB191)=0,"",SUM(Z191:AB191))</f>
        <v>139.19999999999999</v>
      </c>
      <c r="AD191" s="23">
        <f>160+(AC191-50)*0.8</f>
        <v>231.36</v>
      </c>
      <c r="AE191" s="23">
        <f t="shared" si="69"/>
        <v>231.36</v>
      </c>
      <c r="AF191" s="23">
        <f t="shared" si="70"/>
        <v>0</v>
      </c>
      <c r="AG191" s="23">
        <f t="shared" si="71"/>
        <v>0</v>
      </c>
      <c r="AH191" s="23">
        <f t="shared" si="72"/>
        <v>30.848000000000003</v>
      </c>
      <c r="AI191" s="23">
        <f t="shared" si="73"/>
        <v>15.424000000000001</v>
      </c>
      <c r="AJ191" s="23">
        <f t="shared" si="74"/>
        <v>46.272000000000006</v>
      </c>
      <c r="AK191" s="24"/>
      <c r="AL191" s="24"/>
      <c r="AM191" s="24"/>
      <c r="AN191" s="24"/>
      <c r="AO191" s="24"/>
      <c r="AP191" s="24"/>
      <c r="AQ191" s="24"/>
      <c r="AR191" s="24">
        <v>139.19999999999999</v>
      </c>
      <c r="AS191" s="24"/>
      <c r="AT191" s="24"/>
      <c r="AU191" s="24"/>
      <c r="AV191" s="24"/>
    </row>
    <row r="192" spans="1:48" s="25" customFormat="1" ht="38.25" customHeight="1" x14ac:dyDescent="0.3">
      <c r="A192" s="26">
        <v>184</v>
      </c>
      <c r="B192" s="26"/>
      <c r="C192" s="16" t="s">
        <v>381</v>
      </c>
      <c r="D192" s="19" t="s">
        <v>382</v>
      </c>
      <c r="E192" s="17" t="s">
        <v>383</v>
      </c>
      <c r="F192" s="18" t="s">
        <v>384</v>
      </c>
      <c r="G192" s="17"/>
      <c r="H192" s="28">
        <v>1</v>
      </c>
      <c r="I192" s="18" t="s">
        <v>45</v>
      </c>
      <c r="J192" s="18" t="s">
        <v>45</v>
      </c>
      <c r="K192" s="18" t="s">
        <v>45</v>
      </c>
      <c r="L192" s="18" t="s">
        <v>45</v>
      </c>
      <c r="M192" s="18" t="s">
        <v>45</v>
      </c>
      <c r="N192" s="18" t="s">
        <v>45</v>
      </c>
      <c r="O192" s="28">
        <v>1</v>
      </c>
      <c r="P192" s="28">
        <v>1</v>
      </c>
      <c r="Q192" s="28">
        <v>1</v>
      </c>
      <c r="R192" s="28">
        <v>1</v>
      </c>
      <c r="S192" s="18" t="s">
        <v>45</v>
      </c>
      <c r="T192" s="19" t="s">
        <v>385</v>
      </c>
      <c r="U192" s="20">
        <f t="shared" si="92"/>
        <v>268.08999999999997</v>
      </c>
      <c r="V192" s="20">
        <v>227.27699999999999</v>
      </c>
      <c r="W192" s="20">
        <v>0</v>
      </c>
      <c r="X192" s="20">
        <v>40.813000000000002</v>
      </c>
      <c r="Y192" s="21"/>
      <c r="Z192" s="22">
        <v>268.08999999999997</v>
      </c>
      <c r="AA192" s="22"/>
      <c r="AB192" s="22"/>
      <c r="AC192" s="22">
        <f>IF(SUM(Z192:AB192)=0,"",SUM(Z192:AB192))</f>
        <v>268.08999999999997</v>
      </c>
      <c r="AD192" s="23">
        <f>280+(AC192-200)*0.1</f>
        <v>286.80899999999997</v>
      </c>
      <c r="AE192" s="23">
        <f t="shared" si="69"/>
        <v>286.80899999999997</v>
      </c>
      <c r="AF192" s="23">
        <f t="shared" si="70"/>
        <v>0</v>
      </c>
      <c r="AG192" s="23">
        <f t="shared" si="71"/>
        <v>0</v>
      </c>
      <c r="AH192" s="23">
        <f t="shared" si="72"/>
        <v>38.241199999999999</v>
      </c>
      <c r="AI192" s="23">
        <f t="shared" si="73"/>
        <v>19.1206</v>
      </c>
      <c r="AJ192" s="23">
        <f t="shared" si="74"/>
        <v>57.361799999999995</v>
      </c>
      <c r="AK192" s="30"/>
      <c r="AL192" s="24"/>
      <c r="AM192" s="24"/>
      <c r="AN192" s="24"/>
      <c r="AO192" s="24"/>
      <c r="AP192" s="24"/>
      <c r="AQ192" s="24"/>
      <c r="AR192" s="30">
        <v>268.089</v>
      </c>
      <c r="AS192" s="30"/>
      <c r="AT192" s="30"/>
      <c r="AU192" s="30"/>
      <c r="AV192" s="24"/>
    </row>
    <row r="193" spans="1:48" s="25" customFormat="1" ht="36.75" customHeight="1" x14ac:dyDescent="0.3">
      <c r="A193" s="26">
        <v>185</v>
      </c>
      <c r="B193" s="26"/>
      <c r="C193" s="16" t="s">
        <v>386</v>
      </c>
      <c r="D193" s="19"/>
      <c r="E193" s="17">
        <v>41177</v>
      </c>
      <c r="F193" s="18">
        <v>52</v>
      </c>
      <c r="G193" s="17"/>
      <c r="H193" s="28">
        <v>1</v>
      </c>
      <c r="I193" s="18" t="s">
        <v>45</v>
      </c>
      <c r="J193" s="18" t="s">
        <v>45</v>
      </c>
      <c r="K193" s="18" t="s">
        <v>45</v>
      </c>
      <c r="L193" s="18" t="s">
        <v>45</v>
      </c>
      <c r="M193" s="18" t="s">
        <v>45</v>
      </c>
      <c r="N193" s="18" t="s">
        <v>45</v>
      </c>
      <c r="O193" s="28">
        <v>1</v>
      </c>
      <c r="P193" s="28">
        <v>1</v>
      </c>
      <c r="Q193" s="28">
        <v>1</v>
      </c>
      <c r="R193" s="18" t="s">
        <v>45</v>
      </c>
      <c r="S193" s="28">
        <v>1</v>
      </c>
      <c r="T193" s="19" t="s">
        <v>387</v>
      </c>
      <c r="U193" s="20">
        <f t="shared" si="92"/>
        <v>70.578999999999994</v>
      </c>
      <c r="V193" s="20">
        <v>70.578999999999994</v>
      </c>
      <c r="W193" s="20"/>
      <c r="X193" s="20"/>
      <c r="Y193" s="21"/>
      <c r="Z193" s="29">
        <v>70.578999999999994</v>
      </c>
      <c r="AA193" s="29">
        <v>0</v>
      </c>
      <c r="AB193" s="29">
        <v>0</v>
      </c>
      <c r="AC193" s="29">
        <f>IF(SUM(Z193:AB193)=0,"",SUM(Z193:AB193))</f>
        <v>70.578999999999994</v>
      </c>
      <c r="AD193" s="23">
        <f>160+(AC193-50)*0.8</f>
        <v>176.4632</v>
      </c>
      <c r="AE193" s="23">
        <f t="shared" si="69"/>
        <v>176.4632</v>
      </c>
      <c r="AF193" s="23">
        <f t="shared" si="70"/>
        <v>0</v>
      </c>
      <c r="AG193" s="23">
        <f t="shared" si="71"/>
        <v>0</v>
      </c>
      <c r="AH193" s="23">
        <f t="shared" si="72"/>
        <v>23.528426666666668</v>
      </c>
      <c r="AI193" s="23">
        <f t="shared" si="73"/>
        <v>11.764213333333334</v>
      </c>
      <c r="AJ193" s="23">
        <f t="shared" si="74"/>
        <v>35.292639999999999</v>
      </c>
      <c r="AK193" s="30"/>
      <c r="AL193" s="24"/>
      <c r="AM193" s="24"/>
      <c r="AN193" s="24"/>
      <c r="AO193" s="24"/>
      <c r="AP193" s="24"/>
      <c r="AQ193" s="24"/>
      <c r="AR193" s="30">
        <v>70.578999999999994</v>
      </c>
      <c r="AS193" s="30"/>
      <c r="AT193" s="30"/>
      <c r="AU193" s="24"/>
      <c r="AV193" s="30"/>
    </row>
    <row r="194" spans="1:48" s="25" customFormat="1" ht="42" customHeight="1" x14ac:dyDescent="0.3">
      <c r="A194" s="26">
        <v>186</v>
      </c>
      <c r="B194" s="26"/>
      <c r="C194" s="61" t="s">
        <v>212</v>
      </c>
      <c r="D194" s="19" t="s">
        <v>213</v>
      </c>
      <c r="E194" s="17" t="s">
        <v>388</v>
      </c>
      <c r="F194" s="18" t="s">
        <v>389</v>
      </c>
      <c r="G194" s="17"/>
      <c r="H194" s="28">
        <v>1</v>
      </c>
      <c r="I194" s="18" t="s">
        <v>45</v>
      </c>
      <c r="J194" s="28">
        <v>1</v>
      </c>
      <c r="K194" s="18" t="s">
        <v>45</v>
      </c>
      <c r="L194" s="18" t="s">
        <v>45</v>
      </c>
      <c r="M194" s="18" t="s">
        <v>45</v>
      </c>
      <c r="N194" s="18" t="s">
        <v>45</v>
      </c>
      <c r="O194" s="28">
        <v>1</v>
      </c>
      <c r="P194" s="28">
        <v>1</v>
      </c>
      <c r="Q194" s="28">
        <v>1</v>
      </c>
      <c r="R194" s="28">
        <v>1</v>
      </c>
      <c r="S194" s="28">
        <v>1</v>
      </c>
      <c r="T194" s="19" t="s">
        <v>168</v>
      </c>
      <c r="U194" s="20">
        <f t="shared" si="92"/>
        <v>30.762699999999999</v>
      </c>
      <c r="V194" s="20">
        <v>30.762699999999999</v>
      </c>
      <c r="W194" s="20"/>
      <c r="X194" s="20"/>
      <c r="Y194" s="21"/>
      <c r="Z194" s="29">
        <v>30.762699999999999</v>
      </c>
      <c r="AA194" s="29">
        <v>0</v>
      </c>
      <c r="AB194" s="29">
        <v>0</v>
      </c>
      <c r="AC194" s="29">
        <f>IF(SUM(Z194:AB194)=0,"",SUM(Z194:AB194))</f>
        <v>30.762699999999999</v>
      </c>
      <c r="AD194" s="23">
        <f>100+(AC194-20)*2</f>
        <v>121.52539999999999</v>
      </c>
      <c r="AE194" s="23">
        <f t="shared" si="69"/>
        <v>121.52539999999999</v>
      </c>
      <c r="AF194" s="23">
        <f t="shared" si="70"/>
        <v>0</v>
      </c>
      <c r="AG194" s="23">
        <f t="shared" si="71"/>
        <v>0</v>
      </c>
      <c r="AH194" s="23">
        <f t="shared" si="72"/>
        <v>16.203386666666667</v>
      </c>
      <c r="AI194" s="23">
        <f t="shared" si="73"/>
        <v>8.1016933333333334</v>
      </c>
      <c r="AJ194" s="23">
        <f t="shared" si="74"/>
        <v>24.305079999999997</v>
      </c>
      <c r="AK194" s="30"/>
      <c r="AL194" s="24"/>
      <c r="AM194" s="30"/>
      <c r="AN194" s="24"/>
      <c r="AO194" s="24"/>
      <c r="AP194" s="24"/>
      <c r="AQ194" s="24"/>
      <c r="AR194" s="30">
        <v>30.763000000000002</v>
      </c>
      <c r="AS194" s="30"/>
      <c r="AT194" s="30"/>
      <c r="AU194" s="30"/>
      <c r="AV194" s="30"/>
    </row>
    <row r="195" spans="1:48" s="25" customFormat="1" ht="36.75" customHeight="1" x14ac:dyDescent="0.3">
      <c r="A195" s="26">
        <v>187</v>
      </c>
      <c r="B195" s="26"/>
      <c r="C195" s="16" t="s">
        <v>166</v>
      </c>
      <c r="D195" s="19" t="s">
        <v>167</v>
      </c>
      <c r="E195" s="17">
        <v>41883</v>
      </c>
      <c r="F195" s="18">
        <v>113</v>
      </c>
      <c r="G195" s="17"/>
      <c r="H195" s="28">
        <v>1</v>
      </c>
      <c r="I195" s="18" t="s">
        <v>45</v>
      </c>
      <c r="J195" s="18" t="s">
        <v>45</v>
      </c>
      <c r="K195" s="18" t="s">
        <v>45</v>
      </c>
      <c r="L195" s="18" t="s">
        <v>45</v>
      </c>
      <c r="M195" s="18" t="s">
        <v>45</v>
      </c>
      <c r="N195" s="18" t="s">
        <v>45</v>
      </c>
      <c r="O195" s="28">
        <v>1</v>
      </c>
      <c r="P195" s="28">
        <v>1</v>
      </c>
      <c r="Q195" s="28">
        <v>1</v>
      </c>
      <c r="R195" s="28">
        <v>1</v>
      </c>
      <c r="S195" s="28">
        <v>1</v>
      </c>
      <c r="T195" s="19" t="s">
        <v>135</v>
      </c>
      <c r="U195" s="20">
        <f t="shared" si="92"/>
        <v>106.503</v>
      </c>
      <c r="V195" s="20">
        <v>106.503</v>
      </c>
      <c r="W195" s="20"/>
      <c r="X195" s="20"/>
      <c r="Y195" s="21"/>
      <c r="Z195" s="29">
        <v>105.5</v>
      </c>
      <c r="AA195" s="29">
        <v>0.6</v>
      </c>
      <c r="AB195" s="29">
        <v>0.4</v>
      </c>
      <c r="AC195" s="29">
        <f>IF(SUM(Z195:AB195)=0,"",SUM(Z195:AB195))</f>
        <v>106.5</v>
      </c>
      <c r="AD195" s="23">
        <f>160+(AC195-50)*0.8</f>
        <v>205.2</v>
      </c>
      <c r="AE195" s="23">
        <f t="shared" si="69"/>
        <v>203.27323943661972</v>
      </c>
      <c r="AF195" s="23">
        <f t="shared" si="70"/>
        <v>1.156056338028169</v>
      </c>
      <c r="AG195" s="23">
        <f t="shared" si="71"/>
        <v>0.77070422535211269</v>
      </c>
      <c r="AH195" s="23">
        <f t="shared" si="72"/>
        <v>27.36</v>
      </c>
      <c r="AI195" s="23">
        <f t="shared" si="73"/>
        <v>13.68</v>
      </c>
      <c r="AJ195" s="23">
        <f t="shared" si="74"/>
        <v>41.04</v>
      </c>
      <c r="AK195" s="30"/>
      <c r="AL195" s="24"/>
      <c r="AM195" s="24"/>
      <c r="AN195" s="24"/>
      <c r="AO195" s="24"/>
      <c r="AP195" s="24"/>
      <c r="AQ195" s="24"/>
      <c r="AR195" s="30">
        <v>106.503</v>
      </c>
      <c r="AS195" s="30"/>
      <c r="AT195" s="30"/>
      <c r="AU195" s="30"/>
      <c r="AV195" s="30"/>
    </row>
    <row r="196" spans="1:48" s="42" customFormat="1" x14ac:dyDescent="0.3">
      <c r="A196" s="31"/>
      <c r="B196" s="31"/>
      <c r="C196" s="32" t="s">
        <v>52</v>
      </c>
      <c r="D196" s="33"/>
      <c r="E196" s="34"/>
      <c r="F196" s="35"/>
      <c r="G196" s="36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3"/>
      <c r="U196" s="76">
        <f>SUM(U191:U195)</f>
        <v>615.13469999999995</v>
      </c>
      <c r="V196" s="76">
        <f t="shared" ref="V196:AC196" si="99">SUM(V191:V195)</f>
        <v>435.12169999999998</v>
      </c>
      <c r="W196" s="76">
        <f t="shared" si="99"/>
        <v>0</v>
      </c>
      <c r="X196" s="76">
        <f t="shared" si="99"/>
        <v>40.813000000000002</v>
      </c>
      <c r="Y196" s="77">
        <f t="shared" si="99"/>
        <v>615.1</v>
      </c>
      <c r="Z196" s="39">
        <f t="shared" si="99"/>
        <v>614.13169999999991</v>
      </c>
      <c r="AA196" s="39">
        <f t="shared" si="99"/>
        <v>0.6</v>
      </c>
      <c r="AB196" s="39">
        <f t="shared" si="99"/>
        <v>0.4</v>
      </c>
      <c r="AC196" s="39">
        <f t="shared" si="99"/>
        <v>615.13169999999991</v>
      </c>
      <c r="AD196" s="40">
        <f>280+(AC196-200)*0.1</f>
        <v>321.51317</v>
      </c>
      <c r="AE196" s="40">
        <f t="shared" si="69"/>
        <v>320.9904962863871</v>
      </c>
      <c r="AF196" s="40">
        <f t="shared" si="70"/>
        <v>0.31360422816772415</v>
      </c>
      <c r="AG196" s="40">
        <f t="shared" si="71"/>
        <v>0.20906948544514942</v>
      </c>
      <c r="AH196" s="40">
        <f t="shared" si="72"/>
        <v>42.868422666666667</v>
      </c>
      <c r="AI196" s="40">
        <f t="shared" si="73"/>
        <v>21.434211333333334</v>
      </c>
      <c r="AJ196" s="40">
        <f t="shared" si="74"/>
        <v>64.302633999999998</v>
      </c>
      <c r="AK196" s="41"/>
      <c r="AL196" s="41"/>
      <c r="AM196" s="41"/>
      <c r="AN196" s="41"/>
      <c r="AO196" s="41"/>
      <c r="AP196" s="41"/>
      <c r="AQ196" s="41"/>
      <c r="AR196" s="41">
        <v>615.13400000000001</v>
      </c>
      <c r="AS196" s="41"/>
      <c r="AT196" s="41"/>
      <c r="AU196" s="41"/>
      <c r="AV196" s="41"/>
    </row>
    <row r="197" spans="1:48" s="25" customFormat="1" ht="20.25" customHeight="1" x14ac:dyDescent="0.3">
      <c r="A197" s="15">
        <v>32</v>
      </c>
      <c r="B197" s="15" t="s">
        <v>390</v>
      </c>
      <c r="C197" s="16" t="s">
        <v>43</v>
      </c>
      <c r="D197" s="19"/>
      <c r="E197" s="17"/>
      <c r="F197" s="18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9"/>
      <c r="U197" s="20">
        <v>42.9</v>
      </c>
      <c r="V197" s="20"/>
      <c r="W197" s="20"/>
      <c r="X197" s="20"/>
      <c r="Y197" s="21">
        <v>328.9</v>
      </c>
      <c r="Z197" s="22">
        <v>42.9</v>
      </c>
      <c r="AA197" s="22">
        <v>0</v>
      </c>
      <c r="AB197" s="22">
        <v>0</v>
      </c>
      <c r="AC197" s="22">
        <f t="shared" ref="AC197:AC205" si="100">IF(SUM(Z197:AB197)=0,"",SUM(Z197:AB197))</f>
        <v>42.9</v>
      </c>
      <c r="AD197" s="23">
        <f>100+(AC197-20)*2</f>
        <v>145.80000000000001</v>
      </c>
      <c r="AE197" s="23">
        <f t="shared" si="69"/>
        <v>145.80000000000001</v>
      </c>
      <c r="AF197" s="23">
        <f t="shared" si="70"/>
        <v>0</v>
      </c>
      <c r="AG197" s="23">
        <f t="shared" si="71"/>
        <v>0</v>
      </c>
      <c r="AH197" s="23">
        <f t="shared" si="72"/>
        <v>19.440000000000001</v>
      </c>
      <c r="AI197" s="23">
        <f t="shared" si="73"/>
        <v>9.7200000000000006</v>
      </c>
      <c r="AJ197" s="23">
        <f t="shared" si="74"/>
        <v>29.160000000000004</v>
      </c>
      <c r="AK197" s="24"/>
      <c r="AL197" s="24"/>
      <c r="AM197" s="24"/>
      <c r="AN197" s="24"/>
      <c r="AO197" s="24"/>
      <c r="AP197" s="24"/>
      <c r="AQ197" s="24"/>
      <c r="AR197" s="24">
        <v>0</v>
      </c>
      <c r="AS197" s="24"/>
      <c r="AT197" s="24"/>
      <c r="AU197" s="24"/>
      <c r="AV197" s="24"/>
    </row>
    <row r="198" spans="1:48" s="25" customFormat="1" ht="55.5" customHeight="1" x14ac:dyDescent="0.3">
      <c r="A198" s="26"/>
      <c r="B198" s="26"/>
      <c r="C198" s="16" t="s">
        <v>391</v>
      </c>
      <c r="D198" s="19" t="s">
        <v>392</v>
      </c>
      <c r="E198" s="17">
        <v>41899</v>
      </c>
      <c r="F198" s="18">
        <v>116</v>
      </c>
      <c r="G198" s="17"/>
      <c r="H198" s="28">
        <v>1</v>
      </c>
      <c r="I198" s="28">
        <v>1</v>
      </c>
      <c r="J198" s="28">
        <v>1</v>
      </c>
      <c r="K198" s="28">
        <v>1</v>
      </c>
      <c r="L198" s="28">
        <v>1</v>
      </c>
      <c r="M198" s="18" t="s">
        <v>45</v>
      </c>
      <c r="N198" s="18" t="s">
        <v>45</v>
      </c>
      <c r="O198" s="28">
        <v>1</v>
      </c>
      <c r="P198" s="28">
        <v>1</v>
      </c>
      <c r="Q198" s="28">
        <v>1</v>
      </c>
      <c r="R198" s="28">
        <v>1</v>
      </c>
      <c r="S198" s="28">
        <v>1</v>
      </c>
      <c r="T198" s="19" t="s">
        <v>131</v>
      </c>
      <c r="U198" s="20">
        <f t="shared" si="92"/>
        <v>82.98</v>
      </c>
      <c r="V198" s="20">
        <v>82.98</v>
      </c>
      <c r="W198" s="20"/>
      <c r="X198" s="20"/>
      <c r="Y198" s="21"/>
      <c r="Z198" s="29">
        <v>82.98</v>
      </c>
      <c r="AA198" s="29">
        <v>0</v>
      </c>
      <c r="AB198" s="29">
        <v>0</v>
      </c>
      <c r="AC198" s="29">
        <f t="shared" si="100"/>
        <v>82.98</v>
      </c>
      <c r="AD198" s="23">
        <f>160+(AC198-50)*0.8</f>
        <v>186.38400000000001</v>
      </c>
      <c r="AE198" s="23">
        <f t="shared" ref="AE198:AE251" si="101">AD198*Z198/AC198</f>
        <v>186.38400000000001</v>
      </c>
      <c r="AF198" s="23">
        <f t="shared" ref="AF198:AF251" si="102">AD198*AA198/AC198</f>
        <v>0</v>
      </c>
      <c r="AG198" s="23">
        <f t="shared" ref="AG198:AG251" si="103">AD198*AB198/AC198</f>
        <v>0</v>
      </c>
      <c r="AH198" s="23">
        <f t="shared" ref="AH198:AH251" si="104">AVERAGE(AI198:AJ198)</f>
        <v>24.851200000000002</v>
      </c>
      <c r="AI198" s="23">
        <f t="shared" ref="AI198:AI251" si="105">AD198/15</f>
        <v>12.425600000000001</v>
      </c>
      <c r="AJ198" s="23">
        <f t="shared" ref="AJ198:AJ251" si="106">AD198/5</f>
        <v>37.276800000000001</v>
      </c>
      <c r="AK198" s="30"/>
      <c r="AL198" s="30"/>
      <c r="AM198" s="30"/>
      <c r="AN198" s="30"/>
      <c r="AO198" s="30"/>
      <c r="AP198" s="24"/>
      <c r="AQ198" s="24"/>
      <c r="AR198" s="30">
        <v>82.98</v>
      </c>
      <c r="AS198" s="30"/>
      <c r="AT198" s="30"/>
      <c r="AU198" s="30"/>
      <c r="AV198" s="30"/>
    </row>
    <row r="199" spans="1:48" s="25" customFormat="1" ht="55.5" customHeight="1" x14ac:dyDescent="0.3">
      <c r="A199" s="26"/>
      <c r="B199" s="26"/>
      <c r="C199" s="16" t="s">
        <v>393</v>
      </c>
      <c r="D199" s="19" t="s">
        <v>394</v>
      </c>
      <c r="E199" s="17"/>
      <c r="F199" s="18"/>
      <c r="G199" s="17">
        <v>42401</v>
      </c>
      <c r="H199" s="28">
        <v>1</v>
      </c>
      <c r="I199" s="18" t="s">
        <v>45</v>
      </c>
      <c r="J199" s="28">
        <v>1</v>
      </c>
      <c r="K199" s="28">
        <v>1</v>
      </c>
      <c r="L199" s="28">
        <v>1</v>
      </c>
      <c r="M199" s="18" t="s">
        <v>45</v>
      </c>
      <c r="N199" s="18" t="s">
        <v>45</v>
      </c>
      <c r="O199" s="28">
        <v>1</v>
      </c>
      <c r="P199" s="28">
        <v>1</v>
      </c>
      <c r="Q199" s="28">
        <v>1</v>
      </c>
      <c r="R199" s="28">
        <v>1</v>
      </c>
      <c r="S199" s="18" t="s">
        <v>45</v>
      </c>
      <c r="T199" s="19" t="s">
        <v>395</v>
      </c>
      <c r="U199" s="20">
        <f t="shared" si="92"/>
        <v>203</v>
      </c>
      <c r="V199" s="20">
        <v>13.601000000000001</v>
      </c>
      <c r="W199" s="20">
        <v>189.399</v>
      </c>
      <c r="X199" s="20"/>
      <c r="Y199" s="21"/>
      <c r="Z199" s="29">
        <v>56.8</v>
      </c>
      <c r="AA199" s="29">
        <v>144.1</v>
      </c>
      <c r="AB199" s="29">
        <v>2.1</v>
      </c>
      <c r="AC199" s="29">
        <f t="shared" si="100"/>
        <v>202.99999999999997</v>
      </c>
      <c r="AD199" s="23">
        <f t="shared" ref="AD199:AD200" si="107">280+(AC199-200)*0.1</f>
        <v>280.3</v>
      </c>
      <c r="AE199" s="23">
        <f t="shared" si="101"/>
        <v>78.428768472906413</v>
      </c>
      <c r="AF199" s="23">
        <f t="shared" si="102"/>
        <v>198.97157635467985</v>
      </c>
      <c r="AG199" s="23">
        <f t="shared" si="103"/>
        <v>2.8996551724137936</v>
      </c>
      <c r="AH199" s="23">
        <f t="shared" si="104"/>
        <v>37.373333333333335</v>
      </c>
      <c r="AI199" s="23">
        <f t="shared" si="105"/>
        <v>18.686666666666667</v>
      </c>
      <c r="AJ199" s="23">
        <f t="shared" si="106"/>
        <v>56.06</v>
      </c>
      <c r="AK199" s="30"/>
      <c r="AL199" s="24"/>
      <c r="AM199" s="30"/>
      <c r="AN199" s="30"/>
      <c r="AO199" s="30"/>
      <c r="AP199" s="24"/>
      <c r="AQ199" s="24"/>
      <c r="AR199" s="30">
        <v>0</v>
      </c>
      <c r="AS199" s="30"/>
      <c r="AT199" s="30"/>
      <c r="AU199" s="30"/>
      <c r="AV199" s="24"/>
    </row>
    <row r="200" spans="1:48" s="42" customFormat="1" x14ac:dyDescent="0.3">
      <c r="A200" s="31"/>
      <c r="B200" s="31"/>
      <c r="C200" s="32" t="s">
        <v>52</v>
      </c>
      <c r="D200" s="33"/>
      <c r="E200" s="34"/>
      <c r="F200" s="35"/>
      <c r="G200" s="36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3"/>
      <c r="U200" s="76">
        <f>SUM(U197:U199)</f>
        <v>328.88</v>
      </c>
      <c r="V200" s="76">
        <f t="shared" ref="V200:AC200" si="108">SUM(V197:V199)</f>
        <v>96.581000000000003</v>
      </c>
      <c r="W200" s="76">
        <f t="shared" si="108"/>
        <v>189.399</v>
      </c>
      <c r="X200" s="76">
        <f t="shared" si="108"/>
        <v>0</v>
      </c>
      <c r="Y200" s="77">
        <f t="shared" si="108"/>
        <v>328.9</v>
      </c>
      <c r="Z200" s="39">
        <f t="shared" si="108"/>
        <v>182.68</v>
      </c>
      <c r="AA200" s="39">
        <f t="shared" si="108"/>
        <v>144.1</v>
      </c>
      <c r="AB200" s="39">
        <f t="shared" si="108"/>
        <v>2.1</v>
      </c>
      <c r="AC200" s="39">
        <f t="shared" si="108"/>
        <v>328.88</v>
      </c>
      <c r="AD200" s="40">
        <f t="shared" si="107"/>
        <v>292.88799999999998</v>
      </c>
      <c r="AE200" s="40">
        <f t="shared" si="101"/>
        <v>162.68784918511309</v>
      </c>
      <c r="AF200" s="40">
        <f t="shared" si="102"/>
        <v>128.32997081002188</v>
      </c>
      <c r="AG200" s="40">
        <f t="shared" si="103"/>
        <v>1.8701800048649964</v>
      </c>
      <c r="AH200" s="40">
        <f t="shared" si="104"/>
        <v>39.051733333333331</v>
      </c>
      <c r="AI200" s="40">
        <f t="shared" si="105"/>
        <v>19.525866666666666</v>
      </c>
      <c r="AJ200" s="40">
        <f t="shared" si="106"/>
        <v>58.577599999999997</v>
      </c>
      <c r="AK200" s="41"/>
      <c r="AL200" s="41"/>
      <c r="AM200" s="41"/>
      <c r="AN200" s="41"/>
      <c r="AO200" s="41"/>
      <c r="AP200" s="41"/>
      <c r="AQ200" s="41"/>
      <c r="AR200" s="41">
        <v>82.98</v>
      </c>
      <c r="AS200" s="41"/>
      <c r="AT200" s="41"/>
      <c r="AU200" s="41"/>
      <c r="AV200" s="41"/>
    </row>
    <row r="201" spans="1:48" s="25" customFormat="1" ht="19.5" customHeight="1" x14ac:dyDescent="0.3">
      <c r="A201" s="15">
        <v>33</v>
      </c>
      <c r="B201" s="15" t="s">
        <v>396</v>
      </c>
      <c r="C201" s="16" t="s">
        <v>43</v>
      </c>
      <c r="D201" s="19"/>
      <c r="E201" s="17"/>
      <c r="F201" s="18"/>
      <c r="G201" s="17"/>
      <c r="H201" s="18"/>
      <c r="I201" s="18"/>
      <c r="J201" s="18"/>
      <c r="K201" s="18"/>
      <c r="L201" s="18"/>
      <c r="M201" s="43"/>
      <c r="N201" s="18"/>
      <c r="O201" s="18"/>
      <c r="P201" s="18"/>
      <c r="Q201" s="18"/>
      <c r="R201" s="18"/>
      <c r="S201" s="18"/>
      <c r="T201" s="19"/>
      <c r="U201" s="20">
        <v>121.9</v>
      </c>
      <c r="V201" s="20"/>
      <c r="W201" s="20"/>
      <c r="X201" s="20"/>
      <c r="Y201" s="21">
        <v>511.1</v>
      </c>
      <c r="Z201" s="22">
        <v>121.9</v>
      </c>
      <c r="AA201" s="22">
        <v>0</v>
      </c>
      <c r="AB201" s="22">
        <v>0</v>
      </c>
      <c r="AC201" s="22">
        <f t="shared" si="100"/>
        <v>121.9</v>
      </c>
      <c r="AD201" s="23">
        <f t="shared" ref="AD201:AD202" si="109">160+(AC201-50)*0.8</f>
        <v>217.52</v>
      </c>
      <c r="AE201" s="23">
        <f t="shared" si="101"/>
        <v>217.52</v>
      </c>
      <c r="AF201" s="23">
        <f t="shared" si="102"/>
        <v>0</v>
      </c>
      <c r="AG201" s="23">
        <f t="shared" si="103"/>
        <v>0</v>
      </c>
      <c r="AH201" s="23">
        <f t="shared" si="104"/>
        <v>29.00266666666667</v>
      </c>
      <c r="AI201" s="23">
        <f t="shared" si="105"/>
        <v>14.501333333333333</v>
      </c>
      <c r="AJ201" s="23">
        <f t="shared" si="106"/>
        <v>43.504000000000005</v>
      </c>
      <c r="AK201" s="24"/>
      <c r="AL201" s="24"/>
      <c r="AM201" s="24"/>
      <c r="AN201" s="24"/>
      <c r="AO201" s="24"/>
      <c r="AP201" s="44"/>
      <c r="AQ201" s="24"/>
      <c r="AR201" s="24">
        <v>195.4</v>
      </c>
      <c r="AS201" s="24"/>
      <c r="AT201" s="24"/>
      <c r="AU201" s="24"/>
      <c r="AV201" s="24"/>
    </row>
    <row r="202" spans="1:48" s="25" customFormat="1" ht="39.75" customHeight="1" x14ac:dyDescent="0.3">
      <c r="A202" s="26">
        <v>196</v>
      </c>
      <c r="B202" s="26"/>
      <c r="C202" s="16" t="s">
        <v>397</v>
      </c>
      <c r="D202" s="19" t="s">
        <v>398</v>
      </c>
      <c r="E202" s="17">
        <v>41670</v>
      </c>
      <c r="F202" s="18">
        <v>84</v>
      </c>
      <c r="G202" s="17"/>
      <c r="H202" s="28">
        <v>1</v>
      </c>
      <c r="I202" s="28">
        <v>1</v>
      </c>
      <c r="J202" s="28">
        <v>1</v>
      </c>
      <c r="K202" s="28">
        <v>1</v>
      </c>
      <c r="L202" s="28">
        <v>1</v>
      </c>
      <c r="M202" s="43" t="s">
        <v>45</v>
      </c>
      <c r="N202" s="18" t="s">
        <v>45</v>
      </c>
      <c r="O202" s="28">
        <v>1</v>
      </c>
      <c r="P202" s="28">
        <v>1</v>
      </c>
      <c r="Q202" s="28">
        <v>1</v>
      </c>
      <c r="R202" s="28">
        <v>1</v>
      </c>
      <c r="S202" s="18" t="s">
        <v>45</v>
      </c>
      <c r="T202" s="19" t="s">
        <v>104</v>
      </c>
      <c r="U202" s="20">
        <f t="shared" si="92"/>
        <v>108.068</v>
      </c>
      <c r="V202" s="20">
        <v>108.068</v>
      </c>
      <c r="W202" s="20"/>
      <c r="X202" s="20"/>
      <c r="Y202" s="21"/>
      <c r="Z202" s="29">
        <f>IF([28]Заяц_беляк!$M$5=0,"",[28]Заяц_беляк!$M$5)</f>
        <v>98.8</v>
      </c>
      <c r="AA202" s="29">
        <v>8.07</v>
      </c>
      <c r="AB202" s="29">
        <f>IF([28]Заяц_беляк!$O$5=0,"",[28]Заяц_беляк!$O$5)</f>
        <v>1.2</v>
      </c>
      <c r="AC202" s="29">
        <f t="shared" si="100"/>
        <v>108.07000000000001</v>
      </c>
      <c r="AD202" s="23">
        <f t="shared" si="109"/>
        <v>206.45600000000002</v>
      </c>
      <c r="AE202" s="23">
        <f t="shared" si="101"/>
        <v>188.74667160173959</v>
      </c>
      <c r="AF202" s="23">
        <f t="shared" si="102"/>
        <v>15.4168587026927</v>
      </c>
      <c r="AG202" s="23">
        <f t="shared" si="103"/>
        <v>2.2924696955676875</v>
      </c>
      <c r="AH202" s="23">
        <f t="shared" si="104"/>
        <v>27.527466666666669</v>
      </c>
      <c r="AI202" s="23">
        <f t="shared" si="105"/>
        <v>13.763733333333334</v>
      </c>
      <c r="AJ202" s="23">
        <f t="shared" si="106"/>
        <v>41.291200000000003</v>
      </c>
      <c r="AK202" s="30"/>
      <c r="AL202" s="30"/>
      <c r="AM202" s="30"/>
      <c r="AN202" s="30"/>
      <c r="AO202" s="30"/>
      <c r="AP202" s="44"/>
      <c r="AQ202" s="24"/>
      <c r="AR202" s="30">
        <v>108.068</v>
      </c>
      <c r="AS202" s="30"/>
      <c r="AT202" s="30"/>
      <c r="AU202" s="30"/>
      <c r="AV202" s="24"/>
    </row>
    <row r="203" spans="1:48" s="25" customFormat="1" ht="39.75" customHeight="1" x14ac:dyDescent="0.3">
      <c r="A203" s="26"/>
      <c r="B203" s="26"/>
      <c r="C203" s="16" t="s">
        <v>364</v>
      </c>
      <c r="D203" s="19" t="s">
        <v>399</v>
      </c>
      <c r="E203" s="17">
        <v>41694</v>
      </c>
      <c r="F203" s="18">
        <v>87</v>
      </c>
      <c r="G203" s="17"/>
      <c r="H203" s="28">
        <v>1</v>
      </c>
      <c r="I203" s="28">
        <v>1</v>
      </c>
      <c r="J203" s="28">
        <v>1</v>
      </c>
      <c r="K203" s="28">
        <v>1</v>
      </c>
      <c r="L203" s="28">
        <v>1</v>
      </c>
      <c r="M203" s="43" t="s">
        <v>45</v>
      </c>
      <c r="N203" s="18" t="s">
        <v>45</v>
      </c>
      <c r="O203" s="28">
        <v>1</v>
      </c>
      <c r="P203" s="18" t="s">
        <v>45</v>
      </c>
      <c r="Q203" s="28">
        <v>1</v>
      </c>
      <c r="R203" s="18" t="s">
        <v>45</v>
      </c>
      <c r="S203" s="18" t="s">
        <v>45</v>
      </c>
      <c r="T203" s="19" t="s">
        <v>367</v>
      </c>
      <c r="U203" s="20">
        <f t="shared" si="92"/>
        <v>7.5919999999999996</v>
      </c>
      <c r="V203" s="20">
        <v>7.5919999999999996</v>
      </c>
      <c r="W203" s="20"/>
      <c r="X203" s="20"/>
      <c r="Y203" s="21" t="s">
        <v>400</v>
      </c>
      <c r="Z203" s="29">
        <v>7.5919999999999996</v>
      </c>
      <c r="AA203" s="29">
        <v>0</v>
      </c>
      <c r="AB203" s="29">
        <v>0</v>
      </c>
      <c r="AC203" s="29">
        <f t="shared" si="100"/>
        <v>7.5919999999999996</v>
      </c>
      <c r="AD203" s="23"/>
      <c r="AE203" s="23"/>
      <c r="AF203" s="23"/>
      <c r="AG203" s="23"/>
      <c r="AH203" s="23"/>
      <c r="AI203" s="23"/>
      <c r="AJ203" s="23"/>
      <c r="AK203" s="30"/>
      <c r="AL203" s="30"/>
      <c r="AM203" s="30"/>
      <c r="AN203" s="30"/>
      <c r="AO203" s="30"/>
      <c r="AP203" s="44"/>
      <c r="AQ203" s="24"/>
      <c r="AR203" s="30">
        <v>7.5919999999999996</v>
      </c>
      <c r="AS203" s="24"/>
      <c r="AT203" s="30"/>
      <c r="AU203" s="24"/>
      <c r="AV203" s="24"/>
    </row>
    <row r="204" spans="1:48" s="25" customFormat="1" ht="38.25" customHeight="1" x14ac:dyDescent="0.3">
      <c r="A204" s="26">
        <v>197</v>
      </c>
      <c r="B204" s="26"/>
      <c r="C204" s="16" t="s">
        <v>401</v>
      </c>
      <c r="D204" s="19" t="s">
        <v>402</v>
      </c>
      <c r="E204" s="17">
        <v>40723</v>
      </c>
      <c r="F204" s="18">
        <v>14</v>
      </c>
      <c r="G204" s="17"/>
      <c r="H204" s="28">
        <v>1</v>
      </c>
      <c r="I204" s="28">
        <v>1</v>
      </c>
      <c r="J204" s="28">
        <v>1</v>
      </c>
      <c r="K204" s="28">
        <v>1</v>
      </c>
      <c r="L204" s="18" t="s">
        <v>45</v>
      </c>
      <c r="M204" s="43" t="s">
        <v>45</v>
      </c>
      <c r="N204" s="18" t="s">
        <v>45</v>
      </c>
      <c r="O204" s="28">
        <v>1</v>
      </c>
      <c r="P204" s="28">
        <v>1</v>
      </c>
      <c r="Q204" s="28">
        <v>1</v>
      </c>
      <c r="R204" s="18" t="s">
        <v>45</v>
      </c>
      <c r="S204" s="18" t="s">
        <v>45</v>
      </c>
      <c r="T204" s="19" t="s">
        <v>70</v>
      </c>
      <c r="U204" s="20">
        <f t="shared" si="92"/>
        <v>15.159000000000001</v>
      </c>
      <c r="V204" s="20">
        <v>15.159000000000001</v>
      </c>
      <c r="W204" s="20"/>
      <c r="X204" s="20"/>
      <c r="Y204" s="21"/>
      <c r="Z204" s="29">
        <v>15.159000000000001</v>
      </c>
      <c r="AA204" s="29">
        <v>0</v>
      </c>
      <c r="AB204" s="29">
        <v>0</v>
      </c>
      <c r="AC204" s="29">
        <f t="shared" si="100"/>
        <v>15.159000000000001</v>
      </c>
      <c r="AD204" s="23">
        <f>50+(AC204-10)*5</f>
        <v>75.795000000000002</v>
      </c>
      <c r="AE204" s="23">
        <f t="shared" si="101"/>
        <v>75.795000000000002</v>
      </c>
      <c r="AF204" s="23">
        <f t="shared" si="102"/>
        <v>0</v>
      </c>
      <c r="AG204" s="23">
        <f t="shared" si="103"/>
        <v>0</v>
      </c>
      <c r="AH204" s="23">
        <f t="shared" si="104"/>
        <v>10.106</v>
      </c>
      <c r="AI204" s="23">
        <f t="shared" si="105"/>
        <v>5.0529999999999999</v>
      </c>
      <c r="AJ204" s="23">
        <f t="shared" si="106"/>
        <v>15.159000000000001</v>
      </c>
      <c r="AK204" s="30"/>
      <c r="AL204" s="30"/>
      <c r="AM204" s="30"/>
      <c r="AN204" s="30"/>
      <c r="AO204" s="24"/>
      <c r="AP204" s="44"/>
      <c r="AQ204" s="24"/>
      <c r="AR204" s="30"/>
      <c r="AS204" s="30"/>
      <c r="AT204" s="30"/>
      <c r="AU204" s="24"/>
      <c r="AV204" s="24"/>
    </row>
    <row r="205" spans="1:48" s="25" customFormat="1" ht="36.75" customHeight="1" x14ac:dyDescent="0.3">
      <c r="A205" s="26"/>
      <c r="B205" s="26"/>
      <c r="C205" s="16" t="s">
        <v>49</v>
      </c>
      <c r="D205" s="19" t="s">
        <v>327</v>
      </c>
      <c r="E205" s="17">
        <v>40661</v>
      </c>
      <c r="F205" s="18">
        <v>7</v>
      </c>
      <c r="G205" s="17"/>
      <c r="H205" s="28">
        <v>1</v>
      </c>
      <c r="I205" s="28">
        <v>1</v>
      </c>
      <c r="J205" s="28">
        <v>1</v>
      </c>
      <c r="K205" s="28">
        <v>1</v>
      </c>
      <c r="L205" s="28">
        <v>1</v>
      </c>
      <c r="M205" s="43" t="s">
        <v>45</v>
      </c>
      <c r="N205" s="18" t="s">
        <v>45</v>
      </c>
      <c r="O205" s="28">
        <v>1</v>
      </c>
      <c r="P205" s="28">
        <v>1</v>
      </c>
      <c r="Q205" s="28">
        <v>1</v>
      </c>
      <c r="R205" s="28">
        <v>1</v>
      </c>
      <c r="S205" s="28">
        <v>1</v>
      </c>
      <c r="T205" s="19" t="s">
        <v>63</v>
      </c>
      <c r="U205" s="20">
        <f t="shared" si="92"/>
        <v>74.801000000000002</v>
      </c>
      <c r="V205" s="20">
        <v>45.853000000000002</v>
      </c>
      <c r="W205" s="20">
        <v>0</v>
      </c>
      <c r="X205" s="20">
        <v>28.948</v>
      </c>
      <c r="Y205" s="21" t="s">
        <v>403</v>
      </c>
      <c r="Z205" s="50">
        <v>34.453000000000003</v>
      </c>
      <c r="AA205" s="50">
        <v>36.029000000000003</v>
      </c>
      <c r="AB205" s="50">
        <v>4.2649999999999997</v>
      </c>
      <c r="AC205" s="29">
        <f t="shared" si="100"/>
        <v>74.747</v>
      </c>
      <c r="AD205" s="23">
        <f t="shared" ref="AD205:AD206" si="110">160+(AC205-50)*0.8</f>
        <v>179.79759999999999</v>
      </c>
      <c r="AE205" s="23">
        <f t="shared" si="101"/>
        <v>82.873783734464268</v>
      </c>
      <c r="AF205" s="23">
        <f t="shared" si="102"/>
        <v>86.664718723159467</v>
      </c>
      <c r="AG205" s="23">
        <f t="shared" si="103"/>
        <v>10.259097542376281</v>
      </c>
      <c r="AH205" s="23">
        <f t="shared" si="104"/>
        <v>23.973013333333331</v>
      </c>
      <c r="AI205" s="23">
        <f t="shared" si="105"/>
        <v>11.986506666666665</v>
      </c>
      <c r="AJ205" s="23">
        <f t="shared" si="106"/>
        <v>35.959519999999998</v>
      </c>
      <c r="AK205" s="30"/>
      <c r="AL205" s="30"/>
      <c r="AM205" s="30"/>
      <c r="AN205" s="30"/>
      <c r="AO205" s="30"/>
      <c r="AP205" s="44"/>
      <c r="AQ205" s="24"/>
      <c r="AR205" s="30">
        <v>0</v>
      </c>
      <c r="AS205" s="30"/>
      <c r="AT205" s="30"/>
      <c r="AU205" s="30"/>
      <c r="AV205" s="30"/>
    </row>
    <row r="206" spans="1:48" s="25" customFormat="1" ht="54.75" customHeight="1" x14ac:dyDescent="0.3">
      <c r="A206" s="26">
        <v>198</v>
      </c>
      <c r="B206" s="26"/>
      <c r="C206" s="16" t="s">
        <v>102</v>
      </c>
      <c r="D206" s="19" t="s">
        <v>103</v>
      </c>
      <c r="E206" s="17">
        <v>40651</v>
      </c>
      <c r="F206" s="18">
        <v>6</v>
      </c>
      <c r="G206" s="17"/>
      <c r="H206" s="28">
        <v>1</v>
      </c>
      <c r="I206" s="28">
        <v>1</v>
      </c>
      <c r="J206" s="28">
        <v>1</v>
      </c>
      <c r="K206" s="28">
        <v>1</v>
      </c>
      <c r="L206" s="28">
        <v>1</v>
      </c>
      <c r="M206" s="43" t="s">
        <v>45</v>
      </c>
      <c r="N206" s="18" t="s">
        <v>45</v>
      </c>
      <c r="O206" s="28">
        <v>1</v>
      </c>
      <c r="P206" s="28">
        <v>1</v>
      </c>
      <c r="Q206" s="28">
        <v>1</v>
      </c>
      <c r="R206" s="28">
        <v>1</v>
      </c>
      <c r="S206" s="18" t="s">
        <v>45</v>
      </c>
      <c r="T206" s="19" t="s">
        <v>104</v>
      </c>
      <c r="U206" s="20">
        <f t="shared" si="92"/>
        <v>183.59700000000001</v>
      </c>
      <c r="V206" s="20">
        <v>183.59700000000001</v>
      </c>
      <c r="W206" s="20"/>
      <c r="X206" s="20"/>
      <c r="Y206" s="21"/>
      <c r="Z206" s="29">
        <f>IF([29]Заяц_беляк!$M$5=0,"",[29]Заяц_беляк!$M$5)</f>
        <v>180.6</v>
      </c>
      <c r="AA206" s="29">
        <v>0</v>
      </c>
      <c r="AB206" s="29">
        <f>IF([29]Заяц_беляк!$O$5=0,"",[29]Заяц_беляк!$O$5)</f>
        <v>3</v>
      </c>
      <c r="AC206" s="29">
        <f>IF(SUM(Z206:AB206)=0,"",SUM(Z206:AB206))</f>
        <v>183.6</v>
      </c>
      <c r="AD206" s="23">
        <f t="shared" si="110"/>
        <v>266.88</v>
      </c>
      <c r="AE206" s="23">
        <f t="shared" si="101"/>
        <v>262.51921568627449</v>
      </c>
      <c r="AF206" s="23">
        <f t="shared" si="102"/>
        <v>0</v>
      </c>
      <c r="AG206" s="23">
        <f t="shared" si="103"/>
        <v>4.3607843137254907</v>
      </c>
      <c r="AH206" s="23">
        <f t="shared" si="104"/>
        <v>35.583999999999996</v>
      </c>
      <c r="AI206" s="23">
        <f t="shared" si="105"/>
        <v>17.791999999999998</v>
      </c>
      <c r="AJ206" s="23">
        <f t="shared" si="106"/>
        <v>53.375999999999998</v>
      </c>
      <c r="AK206" s="30"/>
      <c r="AL206" s="30"/>
      <c r="AM206" s="30"/>
      <c r="AN206" s="30"/>
      <c r="AO206" s="30"/>
      <c r="AP206" s="44"/>
      <c r="AQ206" s="24"/>
      <c r="AR206" s="30">
        <v>183.1</v>
      </c>
      <c r="AS206" s="30"/>
      <c r="AT206" s="30"/>
      <c r="AU206" s="30"/>
      <c r="AV206" s="24"/>
    </row>
    <row r="207" spans="1:48" s="42" customFormat="1" x14ac:dyDescent="0.3">
      <c r="A207" s="31"/>
      <c r="B207" s="31"/>
      <c r="C207" s="32" t="s">
        <v>52</v>
      </c>
      <c r="D207" s="33"/>
      <c r="E207" s="34"/>
      <c r="F207" s="35"/>
      <c r="G207" s="36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3"/>
      <c r="U207" s="76">
        <f>SUM(U201:U206)</f>
        <v>511.11700000000008</v>
      </c>
      <c r="V207" s="76">
        <f t="shared" ref="V207:AC207" si="111">SUM(V201:V206)</f>
        <v>360.26900000000001</v>
      </c>
      <c r="W207" s="76">
        <f t="shared" si="111"/>
        <v>0</v>
      </c>
      <c r="X207" s="76">
        <f t="shared" si="111"/>
        <v>28.948</v>
      </c>
      <c r="Y207" s="77">
        <f t="shared" si="111"/>
        <v>511.1</v>
      </c>
      <c r="Z207" s="39">
        <f t="shared" si="111"/>
        <v>458.50400000000002</v>
      </c>
      <c r="AA207" s="39">
        <f t="shared" si="111"/>
        <v>44.099000000000004</v>
      </c>
      <c r="AB207" s="39">
        <f t="shared" si="111"/>
        <v>8.4649999999999999</v>
      </c>
      <c r="AC207" s="39">
        <f t="shared" si="111"/>
        <v>511.06799999999998</v>
      </c>
      <c r="AD207" s="40">
        <f t="shared" ref="AD207:AD209" si="112">280+(AC207-200)*0.1</f>
        <v>311.10680000000002</v>
      </c>
      <c r="AE207" s="40">
        <f t="shared" si="101"/>
        <v>279.10906616575488</v>
      </c>
      <c r="AF207" s="40">
        <f t="shared" si="102"/>
        <v>26.844761897046975</v>
      </c>
      <c r="AG207" s="40">
        <f t="shared" si="103"/>
        <v>5.1529719371981821</v>
      </c>
      <c r="AH207" s="40">
        <f t="shared" si="104"/>
        <v>41.480906666666669</v>
      </c>
      <c r="AI207" s="40">
        <f t="shared" si="105"/>
        <v>20.740453333333335</v>
      </c>
      <c r="AJ207" s="40">
        <f t="shared" si="106"/>
        <v>62.221360000000004</v>
      </c>
      <c r="AK207" s="41"/>
      <c r="AL207" s="41"/>
      <c r="AM207" s="41"/>
      <c r="AN207" s="41"/>
      <c r="AO207" s="41"/>
      <c r="AP207" s="41"/>
      <c r="AQ207" s="41"/>
      <c r="AR207" s="41">
        <v>494.15999999999997</v>
      </c>
      <c r="AS207" s="41"/>
      <c r="AT207" s="41"/>
      <c r="AU207" s="41"/>
      <c r="AV207" s="41"/>
    </row>
    <row r="208" spans="1:48" s="25" customFormat="1" ht="19.5" customHeight="1" x14ac:dyDescent="0.3">
      <c r="A208" s="15">
        <v>34</v>
      </c>
      <c r="B208" s="15" t="s">
        <v>404</v>
      </c>
      <c r="C208" s="16" t="s">
        <v>43</v>
      </c>
      <c r="D208" s="19"/>
      <c r="E208" s="17"/>
      <c r="F208" s="18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9"/>
      <c r="U208" s="20">
        <v>468.9</v>
      </c>
      <c r="V208" s="20"/>
      <c r="W208" s="20"/>
      <c r="X208" s="20"/>
      <c r="Y208" s="21">
        <v>4654.3</v>
      </c>
      <c r="Z208" s="22">
        <f>U208-AA208-AB208</f>
        <v>420.9</v>
      </c>
      <c r="AA208" s="22">
        <f>IF([30]Заяц_беляк!$N$5=0,"",[30]Заяц_беляк!$N$5)</f>
        <v>19</v>
      </c>
      <c r="AB208" s="22">
        <f>IF([30]Заяц_беляк!$O$5=0,"",[30]Заяц_беляк!$O$5)</f>
        <v>29</v>
      </c>
      <c r="AC208" s="22">
        <f t="shared" ref="AC208:AC227" si="113">IF(SUM(Z208:AB208)=0,"",SUM(Z208:AB208))</f>
        <v>468.9</v>
      </c>
      <c r="AD208" s="23">
        <f t="shared" si="112"/>
        <v>306.89</v>
      </c>
      <c r="AE208" s="23">
        <f t="shared" si="101"/>
        <v>275.47451695457454</v>
      </c>
      <c r="AF208" s="23">
        <f t="shared" si="102"/>
        <v>12.43529537214758</v>
      </c>
      <c r="AG208" s="23">
        <f t="shared" si="103"/>
        <v>18.980187673277886</v>
      </c>
      <c r="AH208" s="23">
        <f t="shared" si="104"/>
        <v>40.918666666666667</v>
      </c>
      <c r="AI208" s="23">
        <f t="shared" si="105"/>
        <v>20.459333333333333</v>
      </c>
      <c r="AJ208" s="23">
        <f t="shared" si="106"/>
        <v>61.378</v>
      </c>
      <c r="AK208" s="24"/>
      <c r="AL208" s="24"/>
      <c r="AM208" s="24"/>
      <c r="AN208" s="24"/>
      <c r="AO208" s="24"/>
      <c r="AP208" s="24"/>
      <c r="AQ208" s="24"/>
      <c r="AR208" s="24">
        <v>468.9</v>
      </c>
      <c r="AS208" s="24"/>
      <c r="AT208" s="24"/>
      <c r="AU208" s="24"/>
      <c r="AV208" s="24"/>
    </row>
    <row r="209" spans="1:48" s="25" customFormat="1" ht="56.25" customHeight="1" x14ac:dyDescent="0.3">
      <c r="A209" s="26">
        <v>202</v>
      </c>
      <c r="B209" s="26"/>
      <c r="C209" s="61" t="s">
        <v>405</v>
      </c>
      <c r="D209" s="19" t="s">
        <v>406</v>
      </c>
      <c r="E209" s="17"/>
      <c r="F209" s="18"/>
      <c r="G209" s="17">
        <v>42716</v>
      </c>
      <c r="H209" s="28">
        <v>1</v>
      </c>
      <c r="I209" s="18" t="s">
        <v>45</v>
      </c>
      <c r="J209" s="18" t="s">
        <v>45</v>
      </c>
      <c r="K209" s="18" t="s">
        <v>45</v>
      </c>
      <c r="L209" s="18" t="s">
        <v>45</v>
      </c>
      <c r="M209" s="28">
        <v>1</v>
      </c>
      <c r="N209" s="18" t="s">
        <v>45</v>
      </c>
      <c r="O209" s="28">
        <v>1</v>
      </c>
      <c r="P209" s="18" t="s">
        <v>45</v>
      </c>
      <c r="Q209" s="28">
        <v>1</v>
      </c>
      <c r="R209" s="18" t="s">
        <v>45</v>
      </c>
      <c r="S209" s="18" t="s">
        <v>45</v>
      </c>
      <c r="T209" s="19" t="s">
        <v>407</v>
      </c>
      <c r="U209" s="20">
        <f t="shared" si="92"/>
        <v>4030.7310000000002</v>
      </c>
      <c r="V209" s="20">
        <v>4030.7310000000002</v>
      </c>
      <c r="W209" s="20"/>
      <c r="X209" s="20"/>
      <c r="Y209" s="21"/>
      <c r="Z209" s="29">
        <f>IF([31]Заяц_беляк!$M$5=0,"",[31]Заяц_беляк!$M$5)</f>
        <v>4030.7</v>
      </c>
      <c r="AA209" s="29">
        <v>0</v>
      </c>
      <c r="AB209" s="29">
        <v>0</v>
      </c>
      <c r="AC209" s="29">
        <f t="shared" si="113"/>
        <v>4030.7</v>
      </c>
      <c r="AD209" s="23">
        <f t="shared" si="112"/>
        <v>663.06999999999994</v>
      </c>
      <c r="AE209" s="23">
        <f t="shared" si="101"/>
        <v>663.06999999999994</v>
      </c>
      <c r="AF209" s="23">
        <f t="shared" si="102"/>
        <v>0</v>
      </c>
      <c r="AG209" s="23">
        <f t="shared" si="103"/>
        <v>0</v>
      </c>
      <c r="AH209" s="23">
        <f t="shared" si="104"/>
        <v>88.409333333333322</v>
      </c>
      <c r="AI209" s="23">
        <f t="shared" si="105"/>
        <v>44.204666666666661</v>
      </c>
      <c r="AJ209" s="23">
        <f t="shared" si="106"/>
        <v>132.61399999999998</v>
      </c>
      <c r="AK209" s="30"/>
      <c r="AL209" s="24"/>
      <c r="AM209" s="24"/>
      <c r="AN209" s="24"/>
      <c r="AO209" s="24"/>
      <c r="AP209" s="30"/>
      <c r="AQ209" s="24"/>
      <c r="AR209" s="30">
        <v>4030.7310000000002</v>
      </c>
      <c r="AS209" s="24"/>
      <c r="AT209" s="30"/>
      <c r="AU209" s="24"/>
      <c r="AV209" s="24"/>
    </row>
    <row r="210" spans="1:48" s="25" customFormat="1" ht="38.25" customHeight="1" x14ac:dyDescent="0.3">
      <c r="A210" s="26">
        <v>203</v>
      </c>
      <c r="B210" s="26"/>
      <c r="C210" s="16" t="s">
        <v>408</v>
      </c>
      <c r="D210" s="19"/>
      <c r="E210" s="17">
        <v>41824</v>
      </c>
      <c r="F210" s="18">
        <v>105</v>
      </c>
      <c r="G210" s="17"/>
      <c r="H210" s="28">
        <v>1</v>
      </c>
      <c r="I210" s="18" t="s">
        <v>45</v>
      </c>
      <c r="J210" s="18" t="s">
        <v>45</v>
      </c>
      <c r="K210" s="28">
        <v>1</v>
      </c>
      <c r="L210" s="18" t="s">
        <v>45</v>
      </c>
      <c r="M210" s="28">
        <v>1</v>
      </c>
      <c r="N210" s="18" t="s">
        <v>45</v>
      </c>
      <c r="O210" s="28">
        <v>1</v>
      </c>
      <c r="P210" s="18" t="s">
        <v>45</v>
      </c>
      <c r="Q210" s="28">
        <v>1</v>
      </c>
      <c r="R210" s="18" t="s">
        <v>45</v>
      </c>
      <c r="S210" s="18" t="s">
        <v>45</v>
      </c>
      <c r="T210" s="19" t="s">
        <v>409</v>
      </c>
      <c r="U210" s="20">
        <f t="shared" si="92"/>
        <v>60.173999999999999</v>
      </c>
      <c r="V210" s="20">
        <v>60.173999999999999</v>
      </c>
      <c r="W210" s="20"/>
      <c r="X210" s="20"/>
      <c r="Y210" s="21"/>
      <c r="Z210" s="29">
        <v>60.173999999999999</v>
      </c>
      <c r="AA210" s="29">
        <v>0</v>
      </c>
      <c r="AB210" s="29">
        <v>0</v>
      </c>
      <c r="AC210" s="29">
        <f t="shared" si="113"/>
        <v>60.173999999999999</v>
      </c>
      <c r="AD210" s="23">
        <f>160+(AC210-50)*0.8</f>
        <v>168.13919999999999</v>
      </c>
      <c r="AE210" s="23">
        <f t="shared" si="101"/>
        <v>168.13919999999999</v>
      </c>
      <c r="AF210" s="23">
        <f t="shared" si="102"/>
        <v>0</v>
      </c>
      <c r="AG210" s="23">
        <f t="shared" si="103"/>
        <v>0</v>
      </c>
      <c r="AH210" s="23">
        <f t="shared" si="104"/>
        <v>22.418559999999999</v>
      </c>
      <c r="AI210" s="23">
        <f t="shared" si="105"/>
        <v>11.20928</v>
      </c>
      <c r="AJ210" s="23">
        <f t="shared" si="106"/>
        <v>33.627839999999999</v>
      </c>
      <c r="AK210" s="30"/>
      <c r="AL210" s="24"/>
      <c r="AM210" s="24"/>
      <c r="AN210" s="30"/>
      <c r="AO210" s="24"/>
      <c r="AP210" s="30"/>
      <c r="AQ210" s="24"/>
      <c r="AR210" s="30">
        <v>60.173999999999999</v>
      </c>
      <c r="AS210" s="24"/>
      <c r="AT210" s="30"/>
      <c r="AU210" s="24"/>
      <c r="AV210" s="24"/>
    </row>
    <row r="211" spans="1:48" s="25" customFormat="1" ht="38.25" customHeight="1" collapsed="1" x14ac:dyDescent="0.3">
      <c r="A211" s="26">
        <v>204</v>
      </c>
      <c r="B211" s="26"/>
      <c r="C211" s="16" t="s">
        <v>410</v>
      </c>
      <c r="D211" s="19"/>
      <c r="E211" s="17"/>
      <c r="F211" s="18"/>
      <c r="G211" s="17">
        <v>42225</v>
      </c>
      <c r="H211" s="28">
        <v>1</v>
      </c>
      <c r="I211" s="18" t="s">
        <v>45</v>
      </c>
      <c r="J211" s="18" t="s">
        <v>45</v>
      </c>
      <c r="K211" s="18" t="s">
        <v>45</v>
      </c>
      <c r="L211" s="18" t="s">
        <v>45</v>
      </c>
      <c r="M211" s="28">
        <v>1</v>
      </c>
      <c r="N211" s="18" t="s">
        <v>45</v>
      </c>
      <c r="O211" s="28">
        <v>1</v>
      </c>
      <c r="P211" s="18" t="s">
        <v>45</v>
      </c>
      <c r="Q211" s="28">
        <v>1</v>
      </c>
      <c r="R211" s="18" t="s">
        <v>45</v>
      </c>
      <c r="S211" s="18" t="s">
        <v>45</v>
      </c>
      <c r="T211" s="19" t="s">
        <v>407</v>
      </c>
      <c r="U211" s="20">
        <f t="shared" si="92"/>
        <v>32.99</v>
      </c>
      <c r="V211" s="20">
        <v>32.99</v>
      </c>
      <c r="W211" s="20"/>
      <c r="X211" s="20"/>
      <c r="Y211" s="21"/>
      <c r="Z211" s="50">
        <v>32.99</v>
      </c>
      <c r="AA211" s="50">
        <v>0</v>
      </c>
      <c r="AB211" s="50">
        <v>0</v>
      </c>
      <c r="AC211" s="50">
        <f t="shared" si="113"/>
        <v>32.99</v>
      </c>
      <c r="AD211" s="23">
        <f t="shared" ref="AD211:AD213" si="114">100+(AC211-20)*2</f>
        <v>125.98</v>
      </c>
      <c r="AE211" s="23">
        <f t="shared" si="101"/>
        <v>125.98</v>
      </c>
      <c r="AF211" s="23">
        <f t="shared" si="102"/>
        <v>0</v>
      </c>
      <c r="AG211" s="23">
        <f t="shared" si="103"/>
        <v>0</v>
      </c>
      <c r="AH211" s="23">
        <f t="shared" si="104"/>
        <v>16.797333333333334</v>
      </c>
      <c r="AI211" s="23">
        <f t="shared" si="105"/>
        <v>8.3986666666666672</v>
      </c>
      <c r="AJ211" s="23">
        <f t="shared" si="106"/>
        <v>25.196000000000002</v>
      </c>
      <c r="AK211" s="30"/>
      <c r="AL211" s="24"/>
      <c r="AM211" s="24"/>
      <c r="AN211" s="24"/>
      <c r="AO211" s="24"/>
      <c r="AP211" s="30"/>
      <c r="AQ211" s="24"/>
      <c r="AR211" s="30"/>
      <c r="AS211" s="24"/>
      <c r="AT211" s="30"/>
      <c r="AU211" s="24"/>
      <c r="AV211" s="24"/>
    </row>
    <row r="212" spans="1:48" s="25" customFormat="1" ht="38.25" customHeight="1" x14ac:dyDescent="0.3">
      <c r="A212" s="26">
        <v>205</v>
      </c>
      <c r="B212" s="26"/>
      <c r="C212" s="16" t="s">
        <v>411</v>
      </c>
      <c r="D212" s="19"/>
      <c r="E212" s="17">
        <v>41837</v>
      </c>
      <c r="F212" s="18">
        <v>108</v>
      </c>
      <c r="G212" s="17"/>
      <c r="H212" s="28">
        <v>1</v>
      </c>
      <c r="I212" s="18" t="s">
        <v>45</v>
      </c>
      <c r="J212" s="18" t="s">
        <v>45</v>
      </c>
      <c r="K212" s="18" t="s">
        <v>45</v>
      </c>
      <c r="L212" s="18" t="s">
        <v>45</v>
      </c>
      <c r="M212" s="28">
        <v>1</v>
      </c>
      <c r="N212" s="18" t="s">
        <v>45</v>
      </c>
      <c r="O212" s="28">
        <v>1</v>
      </c>
      <c r="P212" s="18" t="s">
        <v>45</v>
      </c>
      <c r="Q212" s="28">
        <v>1</v>
      </c>
      <c r="R212" s="18" t="s">
        <v>45</v>
      </c>
      <c r="S212" s="18" t="s">
        <v>45</v>
      </c>
      <c r="T212" s="19" t="s">
        <v>407</v>
      </c>
      <c r="U212" s="20">
        <f t="shared" si="92"/>
        <v>33.491</v>
      </c>
      <c r="V212" s="20">
        <v>33.491</v>
      </c>
      <c r="W212" s="20"/>
      <c r="X212" s="20"/>
      <c r="Y212" s="21"/>
      <c r="Z212" s="29">
        <v>33.491</v>
      </c>
      <c r="AA212" s="29">
        <v>0</v>
      </c>
      <c r="AB212" s="29">
        <v>0</v>
      </c>
      <c r="AC212" s="29">
        <f t="shared" si="113"/>
        <v>33.491</v>
      </c>
      <c r="AD212" s="23">
        <f t="shared" si="114"/>
        <v>126.982</v>
      </c>
      <c r="AE212" s="23">
        <f t="shared" si="101"/>
        <v>126.98200000000001</v>
      </c>
      <c r="AF212" s="23">
        <f t="shared" si="102"/>
        <v>0</v>
      </c>
      <c r="AG212" s="23">
        <f t="shared" si="103"/>
        <v>0</v>
      </c>
      <c r="AH212" s="23">
        <f t="shared" si="104"/>
        <v>16.930933333333332</v>
      </c>
      <c r="AI212" s="23">
        <f t="shared" si="105"/>
        <v>8.465466666666666</v>
      </c>
      <c r="AJ212" s="23">
        <f t="shared" si="106"/>
        <v>25.3964</v>
      </c>
      <c r="AK212" s="30"/>
      <c r="AL212" s="24"/>
      <c r="AM212" s="24"/>
      <c r="AN212" s="24"/>
      <c r="AO212" s="24"/>
      <c r="AP212" s="30"/>
      <c r="AQ212" s="24"/>
      <c r="AR212" s="30">
        <v>33.491</v>
      </c>
      <c r="AS212" s="24"/>
      <c r="AT212" s="30"/>
      <c r="AU212" s="24"/>
      <c r="AV212" s="24"/>
    </row>
    <row r="213" spans="1:48" s="25" customFormat="1" ht="38.25" customHeight="1" x14ac:dyDescent="0.3">
      <c r="A213" s="26">
        <v>206</v>
      </c>
      <c r="B213" s="26"/>
      <c r="C213" s="16" t="s">
        <v>412</v>
      </c>
      <c r="D213" s="19"/>
      <c r="E213" s="17"/>
      <c r="F213" s="18"/>
      <c r="G213" s="17">
        <v>42225</v>
      </c>
      <c r="H213" s="28">
        <v>1</v>
      </c>
      <c r="I213" s="18" t="s">
        <v>45</v>
      </c>
      <c r="J213" s="18" t="s">
        <v>45</v>
      </c>
      <c r="K213" s="18" t="s">
        <v>45</v>
      </c>
      <c r="L213" s="18" t="s">
        <v>45</v>
      </c>
      <c r="M213" s="28">
        <v>1</v>
      </c>
      <c r="N213" s="18" t="s">
        <v>45</v>
      </c>
      <c r="O213" s="28">
        <v>1</v>
      </c>
      <c r="P213" s="18" t="s">
        <v>45</v>
      </c>
      <c r="Q213" s="28">
        <v>1</v>
      </c>
      <c r="R213" s="18" t="s">
        <v>45</v>
      </c>
      <c r="S213" s="18" t="s">
        <v>45</v>
      </c>
      <c r="T213" s="19" t="s">
        <v>413</v>
      </c>
      <c r="U213" s="20">
        <f t="shared" si="92"/>
        <v>28.036999999999999</v>
      </c>
      <c r="V213" s="20">
        <v>28.036999999999999</v>
      </c>
      <c r="W213" s="20"/>
      <c r="X213" s="20"/>
      <c r="Y213" s="21"/>
      <c r="Z213" s="29">
        <f>IF([32]Заяц_беляк!$M$5=0,"",[32]Заяц_беляк!$M$5)</f>
        <v>28.04</v>
      </c>
      <c r="AA213" s="29">
        <v>0</v>
      </c>
      <c r="AB213" s="29">
        <v>0</v>
      </c>
      <c r="AC213" s="29">
        <f t="shared" si="113"/>
        <v>28.04</v>
      </c>
      <c r="AD213" s="23">
        <f t="shared" si="114"/>
        <v>116.08</v>
      </c>
      <c r="AE213" s="23">
        <f t="shared" si="101"/>
        <v>116.08</v>
      </c>
      <c r="AF213" s="23">
        <f t="shared" si="102"/>
        <v>0</v>
      </c>
      <c r="AG213" s="23">
        <f t="shared" si="103"/>
        <v>0</v>
      </c>
      <c r="AH213" s="23">
        <f t="shared" si="104"/>
        <v>15.477333333333334</v>
      </c>
      <c r="AI213" s="23">
        <f t="shared" si="105"/>
        <v>7.7386666666666661</v>
      </c>
      <c r="AJ213" s="23">
        <f t="shared" si="106"/>
        <v>23.216000000000001</v>
      </c>
      <c r="AK213" s="30"/>
      <c r="AL213" s="24"/>
      <c r="AM213" s="24"/>
      <c r="AN213" s="24"/>
      <c r="AO213" s="24"/>
      <c r="AP213" s="30"/>
      <c r="AQ213" s="24"/>
      <c r="AR213" s="30">
        <v>28.036999999999999</v>
      </c>
      <c r="AS213" s="24"/>
      <c r="AT213" s="30"/>
      <c r="AU213" s="24"/>
      <c r="AV213" s="24"/>
    </row>
    <row r="214" spans="1:48" s="42" customFormat="1" x14ac:dyDescent="0.3">
      <c r="A214" s="31"/>
      <c r="B214" s="31"/>
      <c r="C214" s="32" t="s">
        <v>52</v>
      </c>
      <c r="D214" s="33"/>
      <c r="E214" s="34"/>
      <c r="F214" s="35"/>
      <c r="G214" s="36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3"/>
      <c r="U214" s="76">
        <f>SUM(U208:U213)</f>
        <v>4654.3230000000003</v>
      </c>
      <c r="V214" s="76">
        <f t="shared" ref="V214:AC214" si="115">SUM(V208:V213)</f>
        <v>4185.4230000000007</v>
      </c>
      <c r="W214" s="76">
        <f t="shared" si="115"/>
        <v>0</v>
      </c>
      <c r="X214" s="76">
        <f t="shared" si="115"/>
        <v>0</v>
      </c>
      <c r="Y214" s="77">
        <f t="shared" si="115"/>
        <v>4654.3</v>
      </c>
      <c r="Z214" s="39">
        <f t="shared" si="115"/>
        <v>4606.2949999999992</v>
      </c>
      <c r="AA214" s="39">
        <f t="shared" si="115"/>
        <v>19</v>
      </c>
      <c r="AB214" s="39">
        <f t="shared" si="115"/>
        <v>29</v>
      </c>
      <c r="AC214" s="39">
        <f t="shared" si="115"/>
        <v>4654.2949999999992</v>
      </c>
      <c r="AD214" s="40">
        <f>280+(AC214-200)*0.1</f>
        <v>725.42949999999996</v>
      </c>
      <c r="AE214" s="40">
        <f t="shared" si="101"/>
        <v>717.94810571794437</v>
      </c>
      <c r="AF214" s="40">
        <f t="shared" si="102"/>
        <v>2.9613852366470117</v>
      </c>
      <c r="AG214" s="40">
        <f t="shared" si="103"/>
        <v>4.5200090454085968</v>
      </c>
      <c r="AH214" s="40">
        <f t="shared" si="104"/>
        <v>96.723933333333321</v>
      </c>
      <c r="AI214" s="40">
        <f t="shared" si="105"/>
        <v>48.361966666666667</v>
      </c>
      <c r="AJ214" s="40">
        <f t="shared" si="106"/>
        <v>145.08589999999998</v>
      </c>
      <c r="AK214" s="41"/>
      <c r="AL214" s="41"/>
      <c r="AM214" s="41"/>
      <c r="AN214" s="41"/>
      <c r="AO214" s="41"/>
      <c r="AP214" s="41"/>
      <c r="AQ214" s="41"/>
      <c r="AR214" s="41">
        <v>4621.3330000000005</v>
      </c>
      <c r="AS214" s="41"/>
      <c r="AT214" s="41"/>
      <c r="AU214" s="41"/>
      <c r="AV214" s="41"/>
    </row>
    <row r="215" spans="1:48" s="78" customFormat="1" ht="19.5" customHeight="1" x14ac:dyDescent="0.3">
      <c r="A215" s="15">
        <v>35</v>
      </c>
      <c r="B215" s="15" t="s">
        <v>414</v>
      </c>
      <c r="C215" s="16" t="s">
        <v>43</v>
      </c>
      <c r="D215" s="19"/>
      <c r="E215" s="17"/>
      <c r="F215" s="18"/>
      <c r="G215" s="17"/>
      <c r="H215" s="18"/>
      <c r="I215" s="18"/>
      <c r="J215" s="43"/>
      <c r="K215" s="18"/>
      <c r="L215" s="18"/>
      <c r="M215" s="18"/>
      <c r="N215" s="18"/>
      <c r="O215" s="18"/>
      <c r="P215" s="18"/>
      <c r="Q215" s="18"/>
      <c r="R215" s="18"/>
      <c r="S215" s="18"/>
      <c r="T215" s="19"/>
      <c r="U215" s="20">
        <v>113.8</v>
      </c>
      <c r="V215" s="20"/>
      <c r="W215" s="20"/>
      <c r="X215" s="20"/>
      <c r="Y215" s="21">
        <v>505.6</v>
      </c>
      <c r="Z215" s="48">
        <v>104.2</v>
      </c>
      <c r="AA215" s="48">
        <v>2.6</v>
      </c>
      <c r="AB215" s="48">
        <v>7</v>
      </c>
      <c r="AC215" s="48">
        <f t="shared" si="113"/>
        <v>113.8</v>
      </c>
      <c r="AD215" s="23">
        <f>160+(AC215-50)*0.8</f>
        <v>211.04</v>
      </c>
      <c r="AE215" s="23">
        <f t="shared" si="101"/>
        <v>193.23697715289981</v>
      </c>
      <c r="AF215" s="23">
        <f t="shared" si="102"/>
        <v>4.8216520210896308</v>
      </c>
      <c r="AG215" s="23">
        <f t="shared" si="103"/>
        <v>12.981370826010545</v>
      </c>
      <c r="AH215" s="23">
        <f t="shared" si="104"/>
        <v>28.138666666666666</v>
      </c>
      <c r="AI215" s="23">
        <f t="shared" si="105"/>
        <v>14.069333333333333</v>
      </c>
      <c r="AJ215" s="23">
        <f t="shared" si="106"/>
        <v>42.207999999999998</v>
      </c>
      <c r="AK215" s="24"/>
      <c r="AL215" s="24"/>
      <c r="AM215" s="44"/>
      <c r="AN215" s="24"/>
      <c r="AO215" s="24"/>
      <c r="AP215" s="24"/>
      <c r="AQ215" s="24"/>
      <c r="AR215" s="24">
        <v>117.9</v>
      </c>
      <c r="AS215" s="24"/>
      <c r="AT215" s="24"/>
      <c r="AU215" s="24"/>
      <c r="AV215" s="24"/>
    </row>
    <row r="216" spans="1:48" s="25" customFormat="1" ht="54.75" customHeight="1" x14ac:dyDescent="0.3">
      <c r="A216" s="26">
        <v>209</v>
      </c>
      <c r="B216" s="26"/>
      <c r="C216" s="16" t="s">
        <v>85</v>
      </c>
      <c r="D216" s="19" t="s">
        <v>122</v>
      </c>
      <c r="E216" s="17"/>
      <c r="F216" s="18"/>
      <c r="G216" s="17" t="s">
        <v>415</v>
      </c>
      <c r="H216" s="28">
        <v>1</v>
      </c>
      <c r="I216" s="28">
        <v>1</v>
      </c>
      <c r="J216" s="43">
        <v>1</v>
      </c>
      <c r="K216" s="28">
        <v>1</v>
      </c>
      <c r="L216" s="28">
        <v>1</v>
      </c>
      <c r="M216" s="18" t="s">
        <v>45</v>
      </c>
      <c r="N216" s="18" t="s">
        <v>45</v>
      </c>
      <c r="O216" s="28">
        <v>1</v>
      </c>
      <c r="P216" s="28">
        <v>1</v>
      </c>
      <c r="Q216" s="28">
        <v>1</v>
      </c>
      <c r="R216" s="28">
        <v>1</v>
      </c>
      <c r="S216" s="28">
        <v>1</v>
      </c>
      <c r="T216" s="19" t="s">
        <v>416</v>
      </c>
      <c r="U216" s="20">
        <f t="shared" si="92"/>
        <v>203.52</v>
      </c>
      <c r="V216" s="20">
        <v>66.400000000000006</v>
      </c>
      <c r="W216" s="20">
        <v>137.12</v>
      </c>
      <c r="X216" s="20"/>
      <c r="Y216" s="21"/>
      <c r="Z216" s="50">
        <v>86.2</v>
      </c>
      <c r="AA216" s="50">
        <v>115.9</v>
      </c>
      <c r="AB216" s="50">
        <v>1.4</v>
      </c>
      <c r="AC216" s="50">
        <f t="shared" si="113"/>
        <v>203.50000000000003</v>
      </c>
      <c r="AD216" s="23">
        <f>280+(AC216-200)*0.1</f>
        <v>280.35000000000002</v>
      </c>
      <c r="AE216" s="23">
        <f t="shared" si="101"/>
        <v>118.75267813267813</v>
      </c>
      <c r="AF216" s="23">
        <f t="shared" si="102"/>
        <v>159.66862407862408</v>
      </c>
      <c r="AG216" s="23">
        <f t="shared" si="103"/>
        <v>1.9286977886977885</v>
      </c>
      <c r="AH216" s="23">
        <f t="shared" si="104"/>
        <v>37.380000000000003</v>
      </c>
      <c r="AI216" s="23">
        <f t="shared" si="105"/>
        <v>18.690000000000001</v>
      </c>
      <c r="AJ216" s="23">
        <f t="shared" si="106"/>
        <v>56.070000000000007</v>
      </c>
      <c r="AK216" s="30"/>
      <c r="AL216" s="30"/>
      <c r="AM216" s="44"/>
      <c r="AN216" s="30"/>
      <c r="AO216" s="30"/>
      <c r="AP216" s="24"/>
      <c r="AQ216" s="24"/>
      <c r="AR216" s="30"/>
      <c r="AS216" s="30"/>
      <c r="AT216" s="30"/>
      <c r="AU216" s="30"/>
      <c r="AV216" s="30"/>
    </row>
    <row r="217" spans="1:48" s="25" customFormat="1" ht="56.25" customHeight="1" x14ac:dyDescent="0.3">
      <c r="A217" s="26">
        <v>210</v>
      </c>
      <c r="B217" s="26"/>
      <c r="C217" s="16" t="s">
        <v>115</v>
      </c>
      <c r="D217" s="19" t="s">
        <v>417</v>
      </c>
      <c r="E217" s="17">
        <v>40501</v>
      </c>
      <c r="F217" s="18">
        <v>1</v>
      </c>
      <c r="G217" s="17">
        <v>43823</v>
      </c>
      <c r="H217" s="28">
        <v>1</v>
      </c>
      <c r="I217" s="28">
        <v>1</v>
      </c>
      <c r="J217" s="43">
        <v>1</v>
      </c>
      <c r="K217" s="28">
        <v>1</v>
      </c>
      <c r="L217" s="28">
        <v>1</v>
      </c>
      <c r="M217" s="18" t="s">
        <v>45</v>
      </c>
      <c r="N217" s="18" t="s">
        <v>45</v>
      </c>
      <c r="O217" s="28">
        <v>1</v>
      </c>
      <c r="P217" s="28">
        <v>1</v>
      </c>
      <c r="Q217" s="28">
        <v>1</v>
      </c>
      <c r="R217" s="28">
        <v>1</v>
      </c>
      <c r="S217" s="28">
        <v>1</v>
      </c>
      <c r="T217" s="19" t="s">
        <v>117</v>
      </c>
      <c r="U217" s="20">
        <f t="shared" si="92"/>
        <v>195.35499999999999</v>
      </c>
      <c r="V217" s="20">
        <v>195.35499999999999</v>
      </c>
      <c r="W217" s="20"/>
      <c r="X217" s="20"/>
      <c r="Y217" s="21" t="s">
        <v>418</v>
      </c>
      <c r="Z217" s="48">
        <v>195.255</v>
      </c>
      <c r="AA217" s="48">
        <v>0</v>
      </c>
      <c r="AB217" s="48">
        <v>0.1</v>
      </c>
      <c r="AC217" s="48">
        <f t="shared" si="113"/>
        <v>195.35499999999999</v>
      </c>
      <c r="AD217" s="23">
        <f>160+(AC217-50)*0.8</f>
        <v>276.28399999999999</v>
      </c>
      <c r="AE217" s="23">
        <f t="shared" si="101"/>
        <v>276.1425733664355</v>
      </c>
      <c r="AF217" s="23">
        <f t="shared" si="102"/>
        <v>0</v>
      </c>
      <c r="AG217" s="23">
        <f t="shared" si="103"/>
        <v>0.14142663356453636</v>
      </c>
      <c r="AH217" s="23">
        <f t="shared" si="104"/>
        <v>36.837866666666663</v>
      </c>
      <c r="AI217" s="23">
        <f t="shared" si="105"/>
        <v>18.418933333333332</v>
      </c>
      <c r="AJ217" s="23">
        <f t="shared" si="106"/>
        <v>55.256799999999998</v>
      </c>
      <c r="AK217" s="30"/>
      <c r="AL217" s="30"/>
      <c r="AM217" s="44"/>
      <c r="AN217" s="30"/>
      <c r="AO217" s="30"/>
      <c r="AP217" s="24"/>
      <c r="AQ217" s="24"/>
      <c r="AR217" s="30">
        <v>150</v>
      </c>
      <c r="AS217" s="30"/>
      <c r="AT217" s="30"/>
      <c r="AU217" s="30"/>
      <c r="AV217" s="30"/>
    </row>
    <row r="218" spans="1:48" s="42" customFormat="1" x14ac:dyDescent="0.3">
      <c r="A218" s="31"/>
      <c r="B218" s="31"/>
      <c r="C218" s="32" t="s">
        <v>52</v>
      </c>
      <c r="D218" s="33"/>
      <c r="E218" s="34"/>
      <c r="F218" s="35"/>
      <c r="G218" s="36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3"/>
      <c r="U218" s="76">
        <f>SUM(U215:U217)</f>
        <v>512.67499999999995</v>
      </c>
      <c r="V218" s="76">
        <f t="shared" ref="V218:AC218" si="116">SUM(V215:V217)</f>
        <v>261.755</v>
      </c>
      <c r="W218" s="76">
        <f t="shared" si="116"/>
        <v>137.12</v>
      </c>
      <c r="X218" s="76">
        <f t="shared" si="116"/>
        <v>0</v>
      </c>
      <c r="Y218" s="77">
        <f t="shared" si="116"/>
        <v>505.6</v>
      </c>
      <c r="Z218" s="39">
        <f t="shared" si="116"/>
        <v>385.65499999999997</v>
      </c>
      <c r="AA218" s="39">
        <f t="shared" si="116"/>
        <v>118.5</v>
      </c>
      <c r="AB218" s="39">
        <f t="shared" si="116"/>
        <v>8.5</v>
      </c>
      <c r="AC218" s="39">
        <f t="shared" si="116"/>
        <v>512.65499999999997</v>
      </c>
      <c r="AD218" s="40">
        <f t="shared" ref="AD218:AD219" si="117">280+(AC218-200)*0.1</f>
        <v>311.26549999999997</v>
      </c>
      <c r="AE218" s="40">
        <f t="shared" si="101"/>
        <v>234.15571174083934</v>
      </c>
      <c r="AF218" s="40">
        <f t="shared" si="102"/>
        <v>71.948896918980594</v>
      </c>
      <c r="AG218" s="40">
        <f t="shared" si="103"/>
        <v>5.1608913401800427</v>
      </c>
      <c r="AH218" s="40">
        <f t="shared" si="104"/>
        <v>41.502066666666664</v>
      </c>
      <c r="AI218" s="40">
        <f t="shared" si="105"/>
        <v>20.751033333333332</v>
      </c>
      <c r="AJ218" s="40">
        <f t="shared" si="106"/>
        <v>62.253099999999996</v>
      </c>
      <c r="AK218" s="41"/>
      <c r="AL218" s="41"/>
      <c r="AM218" s="41"/>
      <c r="AN218" s="41"/>
      <c r="AO218" s="41"/>
      <c r="AP218" s="41"/>
      <c r="AQ218" s="41"/>
      <c r="AR218" s="41">
        <v>267.89999999999998</v>
      </c>
      <c r="AS218" s="41"/>
      <c r="AT218" s="41"/>
      <c r="AU218" s="41"/>
      <c r="AV218" s="41"/>
    </row>
    <row r="219" spans="1:48" s="25" customFormat="1" ht="19.5" customHeight="1" x14ac:dyDescent="0.3">
      <c r="A219" s="15">
        <v>36</v>
      </c>
      <c r="B219" s="15" t="s">
        <v>419</v>
      </c>
      <c r="C219" s="16" t="s">
        <v>43</v>
      </c>
      <c r="D219" s="19"/>
      <c r="E219" s="17"/>
      <c r="F219" s="18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9"/>
      <c r="U219" s="20">
        <v>538.29999999999995</v>
      </c>
      <c r="V219" s="20"/>
      <c r="W219" s="20"/>
      <c r="X219" s="20"/>
      <c r="Y219" s="21">
        <v>969</v>
      </c>
      <c r="Z219" s="22">
        <f>U219-AA219-AB219</f>
        <v>442.49999999999994</v>
      </c>
      <c r="AA219" s="22">
        <f>IF([33]Заяц_беляк!$N$5=0,"",[33]Заяц_беляк!$N$5)</f>
        <v>85.7</v>
      </c>
      <c r="AB219" s="22">
        <f>IF([33]Заяц_беляк!$O$5=0,"",[33]Заяц_беляк!$O$5)</f>
        <v>10.1</v>
      </c>
      <c r="AC219" s="22">
        <f t="shared" si="113"/>
        <v>538.29999999999995</v>
      </c>
      <c r="AD219" s="23">
        <f t="shared" si="117"/>
        <v>313.83</v>
      </c>
      <c r="AE219" s="23">
        <f t="shared" si="101"/>
        <v>257.97840423555635</v>
      </c>
      <c r="AF219" s="23">
        <f t="shared" si="102"/>
        <v>49.963275125394766</v>
      </c>
      <c r="AG219" s="23">
        <f t="shared" si="103"/>
        <v>5.8883206390488567</v>
      </c>
      <c r="AH219" s="23">
        <f t="shared" si="104"/>
        <v>41.844000000000001</v>
      </c>
      <c r="AI219" s="23">
        <f t="shared" si="105"/>
        <v>20.922000000000001</v>
      </c>
      <c r="AJ219" s="23">
        <f t="shared" si="106"/>
        <v>62.765999999999998</v>
      </c>
      <c r="AK219" s="24"/>
      <c r="AL219" s="24"/>
      <c r="AM219" s="24"/>
      <c r="AN219" s="24"/>
      <c r="AO219" s="24"/>
      <c r="AP219" s="24"/>
      <c r="AQ219" s="24"/>
      <c r="AR219" s="24">
        <v>441.3</v>
      </c>
      <c r="AS219" s="24"/>
      <c r="AT219" s="24"/>
      <c r="AU219" s="24"/>
      <c r="AV219" s="24"/>
    </row>
    <row r="220" spans="1:48" s="25" customFormat="1" ht="38.25" customHeight="1" x14ac:dyDescent="0.3">
      <c r="A220" s="26"/>
      <c r="B220" s="26"/>
      <c r="C220" s="16" t="s">
        <v>255</v>
      </c>
      <c r="D220" s="19"/>
      <c r="E220" s="17">
        <v>40988</v>
      </c>
      <c r="F220" s="18">
        <v>40</v>
      </c>
      <c r="G220" s="17"/>
      <c r="H220" s="28">
        <v>1</v>
      </c>
      <c r="I220" s="18" t="s">
        <v>45</v>
      </c>
      <c r="J220" s="28">
        <v>1</v>
      </c>
      <c r="K220" s="18" t="s">
        <v>45</v>
      </c>
      <c r="L220" s="18" t="s">
        <v>45</v>
      </c>
      <c r="M220" s="18" t="s">
        <v>45</v>
      </c>
      <c r="N220" s="18" t="s">
        <v>45</v>
      </c>
      <c r="O220" s="28">
        <v>1</v>
      </c>
      <c r="P220" s="18" t="s">
        <v>45</v>
      </c>
      <c r="Q220" s="28">
        <v>1</v>
      </c>
      <c r="R220" s="18" t="s">
        <v>45</v>
      </c>
      <c r="S220" s="18" t="s">
        <v>45</v>
      </c>
      <c r="T220" s="19" t="s">
        <v>256</v>
      </c>
      <c r="U220" s="20">
        <f t="shared" si="92"/>
        <v>6.8680000000000003</v>
      </c>
      <c r="V220" s="20">
        <v>6.8680000000000003</v>
      </c>
      <c r="W220" s="20"/>
      <c r="X220" s="20"/>
      <c r="Y220" s="21" t="s">
        <v>420</v>
      </c>
      <c r="Z220" s="29">
        <f>V220-AB220</f>
        <v>6.5680000000000005</v>
      </c>
      <c r="AA220" s="29">
        <v>0</v>
      </c>
      <c r="AB220" s="29">
        <v>0.3</v>
      </c>
      <c r="AC220" s="29">
        <f t="shared" si="113"/>
        <v>6.8680000000000003</v>
      </c>
      <c r="AD220" s="23"/>
      <c r="AE220" s="23"/>
      <c r="AF220" s="23"/>
      <c r="AG220" s="23"/>
      <c r="AH220" s="23"/>
      <c r="AI220" s="23"/>
      <c r="AJ220" s="23"/>
      <c r="AK220" s="30"/>
      <c r="AL220" s="24"/>
      <c r="AM220" s="30"/>
      <c r="AN220" s="24"/>
      <c r="AO220" s="24"/>
      <c r="AP220" s="24"/>
      <c r="AQ220" s="24"/>
      <c r="AR220" s="30">
        <v>6.8680000000000003</v>
      </c>
      <c r="AS220" s="24"/>
      <c r="AT220" s="30"/>
      <c r="AU220" s="24"/>
      <c r="AV220" s="24"/>
    </row>
    <row r="221" spans="1:48" s="25" customFormat="1" ht="37.5" customHeight="1" x14ac:dyDescent="0.3">
      <c r="A221" s="26"/>
      <c r="B221" s="26"/>
      <c r="C221" s="16" t="s">
        <v>421</v>
      </c>
      <c r="D221" s="19" t="s">
        <v>422</v>
      </c>
      <c r="E221" s="17">
        <v>41502</v>
      </c>
      <c r="F221" s="18">
        <v>69</v>
      </c>
      <c r="G221" s="17"/>
      <c r="H221" s="28">
        <v>1</v>
      </c>
      <c r="I221" s="18" t="s">
        <v>45</v>
      </c>
      <c r="J221" s="28">
        <v>1</v>
      </c>
      <c r="K221" s="18" t="s">
        <v>45</v>
      </c>
      <c r="L221" s="18" t="s">
        <v>45</v>
      </c>
      <c r="M221" s="18" t="s">
        <v>45</v>
      </c>
      <c r="N221" s="18" t="s">
        <v>45</v>
      </c>
      <c r="O221" s="28">
        <v>1</v>
      </c>
      <c r="P221" s="28">
        <v>1</v>
      </c>
      <c r="Q221" s="28">
        <v>1</v>
      </c>
      <c r="R221" s="28">
        <v>1</v>
      </c>
      <c r="S221" s="28">
        <v>1</v>
      </c>
      <c r="T221" s="19" t="s">
        <v>168</v>
      </c>
      <c r="U221" s="20">
        <f t="shared" si="92"/>
        <v>217.71900000000002</v>
      </c>
      <c r="V221" s="20">
        <v>168.27600000000001</v>
      </c>
      <c r="W221" s="20">
        <v>46.86</v>
      </c>
      <c r="X221" s="20">
        <v>2.5830000000000002</v>
      </c>
      <c r="Y221" s="21" t="s">
        <v>136</v>
      </c>
      <c r="Z221" s="29">
        <f>IF([34]Заяц_беляк!$M$5=0,"",[34]Заяц_беляк!$M$5)</f>
        <v>167.32</v>
      </c>
      <c r="AA221" s="29">
        <f>IF([34]Заяц_беляк!$N$5=0,"",[34]Заяц_беляк!$N$5)</f>
        <v>49.44</v>
      </c>
      <c r="AB221" s="29">
        <f>IF([34]Заяц_беляк!$O$5=0,"",[34]Заяц_беляк!$O$5)</f>
        <v>0.95</v>
      </c>
      <c r="AC221" s="29">
        <f t="shared" si="113"/>
        <v>217.70999999999998</v>
      </c>
      <c r="AD221" s="23">
        <f>280+(AC221-200)*0.1</f>
        <v>281.77100000000002</v>
      </c>
      <c r="AE221" s="23">
        <f t="shared" si="101"/>
        <v>216.55378126866015</v>
      </c>
      <c r="AF221" s="23">
        <f t="shared" si="102"/>
        <v>63.98768196224335</v>
      </c>
      <c r="AG221" s="23">
        <f t="shared" si="103"/>
        <v>1.2295367690965047</v>
      </c>
      <c r="AH221" s="23">
        <f t="shared" si="104"/>
        <v>37.569466666666671</v>
      </c>
      <c r="AI221" s="23">
        <f t="shared" si="105"/>
        <v>18.784733333333335</v>
      </c>
      <c r="AJ221" s="23">
        <f t="shared" si="106"/>
        <v>56.354200000000006</v>
      </c>
      <c r="AK221" s="30"/>
      <c r="AL221" s="24"/>
      <c r="AM221" s="30"/>
      <c r="AN221" s="24"/>
      <c r="AO221" s="24"/>
      <c r="AP221" s="24"/>
      <c r="AQ221" s="24"/>
      <c r="AR221" s="30">
        <v>167</v>
      </c>
      <c r="AS221" s="30"/>
      <c r="AT221" s="30"/>
      <c r="AU221" s="30"/>
      <c r="AV221" s="30"/>
    </row>
    <row r="222" spans="1:48" s="25" customFormat="1" ht="37.5" customHeight="1" x14ac:dyDescent="0.3">
      <c r="A222" s="26"/>
      <c r="B222" s="26"/>
      <c r="C222" s="16" t="s">
        <v>423</v>
      </c>
      <c r="D222" s="19" t="s">
        <v>424</v>
      </c>
      <c r="E222" s="17">
        <v>41907</v>
      </c>
      <c r="F222" s="18">
        <v>119</v>
      </c>
      <c r="G222" s="17"/>
      <c r="H222" s="28">
        <v>1</v>
      </c>
      <c r="I222" s="18" t="s">
        <v>45</v>
      </c>
      <c r="J222" s="28">
        <v>1</v>
      </c>
      <c r="K222" s="18" t="s">
        <v>45</v>
      </c>
      <c r="L222" s="18" t="s">
        <v>45</v>
      </c>
      <c r="M222" s="18" t="s">
        <v>45</v>
      </c>
      <c r="N222" s="18" t="s">
        <v>45</v>
      </c>
      <c r="O222" s="28">
        <v>1</v>
      </c>
      <c r="P222" s="28">
        <v>1</v>
      </c>
      <c r="Q222" s="28">
        <v>1</v>
      </c>
      <c r="R222" s="28">
        <v>1</v>
      </c>
      <c r="S222" s="28">
        <v>1</v>
      </c>
      <c r="T222" s="19" t="s">
        <v>168</v>
      </c>
      <c r="U222" s="20">
        <f t="shared" si="92"/>
        <v>75.02</v>
      </c>
      <c r="V222" s="20">
        <v>70.701999999999998</v>
      </c>
      <c r="W222" s="20">
        <v>0</v>
      </c>
      <c r="X222" s="20">
        <v>4.3179999999999996</v>
      </c>
      <c r="Y222" s="21"/>
      <c r="Z222" s="29">
        <v>75.02</v>
      </c>
      <c r="AA222" s="29">
        <v>0</v>
      </c>
      <c r="AB222" s="29">
        <v>0</v>
      </c>
      <c r="AC222" s="29">
        <f t="shared" si="113"/>
        <v>75.02</v>
      </c>
      <c r="AD222" s="23">
        <f t="shared" ref="AD222:AD223" si="118">160+(AC222-50)*0.8</f>
        <v>180.01599999999999</v>
      </c>
      <c r="AE222" s="23">
        <f t="shared" si="101"/>
        <v>180.01599999999999</v>
      </c>
      <c r="AF222" s="23">
        <f t="shared" si="102"/>
        <v>0</v>
      </c>
      <c r="AG222" s="23">
        <f t="shared" si="103"/>
        <v>0</v>
      </c>
      <c r="AH222" s="23">
        <f t="shared" si="104"/>
        <v>24.002133333333333</v>
      </c>
      <c r="AI222" s="23">
        <f t="shared" si="105"/>
        <v>12.001066666666667</v>
      </c>
      <c r="AJ222" s="23">
        <f t="shared" si="106"/>
        <v>36.0032</v>
      </c>
      <c r="AK222" s="30"/>
      <c r="AL222" s="24"/>
      <c r="AM222" s="30"/>
      <c r="AN222" s="24"/>
      <c r="AO222" s="24"/>
      <c r="AP222" s="24"/>
      <c r="AQ222" s="24"/>
      <c r="AR222" s="30"/>
      <c r="AS222" s="30"/>
      <c r="AT222" s="30"/>
      <c r="AU222" s="30"/>
      <c r="AV222" s="30"/>
    </row>
    <row r="223" spans="1:48" s="25" customFormat="1" ht="36.75" customHeight="1" x14ac:dyDescent="0.3">
      <c r="A223" s="26"/>
      <c r="B223" s="26"/>
      <c r="C223" s="16" t="s">
        <v>49</v>
      </c>
      <c r="D223" s="19" t="s">
        <v>186</v>
      </c>
      <c r="E223" s="17">
        <v>40669</v>
      </c>
      <c r="F223" s="18">
        <v>10</v>
      </c>
      <c r="G223" s="17"/>
      <c r="H223" s="28">
        <v>1</v>
      </c>
      <c r="I223" s="28">
        <v>1</v>
      </c>
      <c r="J223" s="28">
        <v>1</v>
      </c>
      <c r="K223" s="28">
        <v>1</v>
      </c>
      <c r="L223" s="28">
        <v>1</v>
      </c>
      <c r="M223" s="18" t="s">
        <v>45</v>
      </c>
      <c r="N223" s="18" t="s">
        <v>45</v>
      </c>
      <c r="O223" s="28">
        <v>1</v>
      </c>
      <c r="P223" s="28">
        <v>1</v>
      </c>
      <c r="Q223" s="28">
        <v>1</v>
      </c>
      <c r="R223" s="28">
        <v>1</v>
      </c>
      <c r="S223" s="28">
        <v>1</v>
      </c>
      <c r="T223" s="19" t="s">
        <v>63</v>
      </c>
      <c r="U223" s="20">
        <f t="shared" si="92"/>
        <v>126.434</v>
      </c>
      <c r="V223" s="20">
        <v>120.117</v>
      </c>
      <c r="W223" s="20">
        <v>6.3170000000000002</v>
      </c>
      <c r="X223" s="20"/>
      <c r="Y223" s="21"/>
      <c r="Z223" s="50">
        <v>106.541</v>
      </c>
      <c r="AA223" s="50">
        <v>18.073</v>
      </c>
      <c r="AB223" s="50">
        <v>1.82</v>
      </c>
      <c r="AC223" s="50">
        <f>SUM(Z223:AB223)</f>
        <v>126.434</v>
      </c>
      <c r="AD223" s="23">
        <f t="shared" si="118"/>
        <v>221.1472</v>
      </c>
      <c r="AE223" s="23">
        <f t="shared" si="101"/>
        <v>186.3521191704763</v>
      </c>
      <c r="AF223" s="23">
        <f t="shared" si="102"/>
        <v>31.611697372542196</v>
      </c>
      <c r="AG223" s="23">
        <f t="shared" si="103"/>
        <v>3.1833834569815083</v>
      </c>
      <c r="AH223" s="23">
        <f t="shared" si="104"/>
        <v>29.486293333333332</v>
      </c>
      <c r="AI223" s="23">
        <f t="shared" si="105"/>
        <v>14.743146666666666</v>
      </c>
      <c r="AJ223" s="23">
        <f t="shared" si="106"/>
        <v>44.229439999999997</v>
      </c>
      <c r="AK223" s="30"/>
      <c r="AL223" s="30"/>
      <c r="AM223" s="30"/>
      <c r="AN223" s="30"/>
      <c r="AO223" s="30"/>
      <c r="AP223" s="24"/>
      <c r="AQ223" s="24"/>
      <c r="AR223" s="30">
        <v>90</v>
      </c>
      <c r="AS223" s="30"/>
      <c r="AT223" s="30"/>
      <c r="AU223" s="30"/>
      <c r="AV223" s="30"/>
    </row>
    <row r="224" spans="1:48" s="42" customFormat="1" x14ac:dyDescent="0.3">
      <c r="A224" s="31"/>
      <c r="B224" s="31"/>
      <c r="C224" s="32" t="s">
        <v>52</v>
      </c>
      <c r="D224" s="33"/>
      <c r="E224" s="34"/>
      <c r="F224" s="35"/>
      <c r="G224" s="36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3"/>
      <c r="U224" s="76">
        <f>SUM(U219:U223)</f>
        <v>964.34100000000001</v>
      </c>
      <c r="V224" s="76">
        <f t="shared" ref="V224:AC224" si="119">SUM(V219:V223)</f>
        <v>365.96300000000002</v>
      </c>
      <c r="W224" s="76">
        <f t="shared" si="119"/>
        <v>53.177</v>
      </c>
      <c r="X224" s="76">
        <f t="shared" si="119"/>
        <v>6.9009999999999998</v>
      </c>
      <c r="Y224" s="77">
        <f t="shared" si="119"/>
        <v>969</v>
      </c>
      <c r="Z224" s="39">
        <f t="shared" si="119"/>
        <v>797.94899999999984</v>
      </c>
      <c r="AA224" s="39">
        <f t="shared" si="119"/>
        <v>153.21299999999999</v>
      </c>
      <c r="AB224" s="39">
        <f t="shared" si="119"/>
        <v>13.17</v>
      </c>
      <c r="AC224" s="39">
        <f t="shared" si="119"/>
        <v>964.33199999999988</v>
      </c>
      <c r="AD224" s="40">
        <f t="shared" ref="AD224:AD229" si="120">280+(AC224-200)*0.1</f>
        <v>356.4332</v>
      </c>
      <c r="AE224" s="40">
        <f t="shared" si="101"/>
        <v>294.93526659573666</v>
      </c>
      <c r="AF224" s="40">
        <f t="shared" si="102"/>
        <v>56.630081622926546</v>
      </c>
      <c r="AG224" s="40">
        <f t="shared" si="103"/>
        <v>4.8678517813367188</v>
      </c>
      <c r="AH224" s="40">
        <f t="shared" si="104"/>
        <v>47.52442666666667</v>
      </c>
      <c r="AI224" s="40">
        <f t="shared" si="105"/>
        <v>23.762213333333332</v>
      </c>
      <c r="AJ224" s="40">
        <f t="shared" si="106"/>
        <v>71.286640000000006</v>
      </c>
      <c r="AK224" s="41"/>
      <c r="AL224" s="41"/>
      <c r="AM224" s="41"/>
      <c r="AN224" s="41"/>
      <c r="AO224" s="41"/>
      <c r="AP224" s="41"/>
      <c r="AQ224" s="41"/>
      <c r="AR224" s="41">
        <v>705.16800000000001</v>
      </c>
      <c r="AS224" s="41"/>
      <c r="AT224" s="41"/>
      <c r="AU224" s="41"/>
      <c r="AV224" s="41"/>
    </row>
    <row r="225" spans="1:48" s="78" customFormat="1" ht="19.5" customHeight="1" x14ac:dyDescent="0.3">
      <c r="A225" s="15">
        <v>37</v>
      </c>
      <c r="B225" s="15" t="s">
        <v>425</v>
      </c>
      <c r="C225" s="16" t="s">
        <v>43</v>
      </c>
      <c r="D225" s="19"/>
      <c r="E225" s="17"/>
      <c r="F225" s="18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9"/>
      <c r="U225" s="20">
        <v>1697.8</v>
      </c>
      <c r="V225" s="20"/>
      <c r="W225" s="20"/>
      <c r="X225" s="20"/>
      <c r="Y225" s="21">
        <v>19593.099999999999</v>
      </c>
      <c r="Z225" s="48">
        <v>1697.8</v>
      </c>
      <c r="AA225" s="48">
        <v>0</v>
      </c>
      <c r="AB225" s="48">
        <v>0</v>
      </c>
      <c r="AC225" s="48">
        <f t="shared" si="113"/>
        <v>1697.8</v>
      </c>
      <c r="AD225" s="23">
        <f t="shared" si="120"/>
        <v>429.78</v>
      </c>
      <c r="AE225" s="23">
        <f t="shared" si="101"/>
        <v>429.78</v>
      </c>
      <c r="AF225" s="23">
        <f t="shared" si="102"/>
        <v>0</v>
      </c>
      <c r="AG225" s="23">
        <f t="shared" si="103"/>
        <v>0</v>
      </c>
      <c r="AH225" s="23">
        <f t="shared" si="104"/>
        <v>57.303999999999995</v>
      </c>
      <c r="AI225" s="23">
        <f t="shared" si="105"/>
        <v>28.651999999999997</v>
      </c>
      <c r="AJ225" s="23">
        <f t="shared" si="106"/>
        <v>85.955999999999989</v>
      </c>
      <c r="AK225" s="24"/>
      <c r="AL225" s="24"/>
      <c r="AM225" s="24"/>
      <c r="AN225" s="24"/>
      <c r="AO225" s="24"/>
      <c r="AP225" s="24"/>
      <c r="AQ225" s="24"/>
      <c r="AR225" s="24">
        <v>972</v>
      </c>
      <c r="AS225" s="24"/>
      <c r="AT225" s="24"/>
      <c r="AU225" s="24"/>
      <c r="AV225" s="24"/>
    </row>
    <row r="226" spans="1:48" s="25" customFormat="1" ht="39" customHeight="1" x14ac:dyDescent="0.3">
      <c r="A226" s="26">
        <v>217</v>
      </c>
      <c r="B226" s="26"/>
      <c r="C226" s="16" t="s">
        <v>426</v>
      </c>
      <c r="D226" s="19" t="s">
        <v>427</v>
      </c>
      <c r="E226" s="17">
        <v>41218</v>
      </c>
      <c r="F226" s="18">
        <v>53</v>
      </c>
      <c r="G226" s="17"/>
      <c r="H226" s="28">
        <v>1</v>
      </c>
      <c r="I226" s="18" t="s">
        <v>45</v>
      </c>
      <c r="J226" s="18" t="s">
        <v>45</v>
      </c>
      <c r="K226" s="18" t="s">
        <v>45</v>
      </c>
      <c r="L226" s="18" t="s">
        <v>45</v>
      </c>
      <c r="M226" s="28">
        <v>1</v>
      </c>
      <c r="N226" s="18" t="s">
        <v>45</v>
      </c>
      <c r="O226" s="28">
        <v>1</v>
      </c>
      <c r="P226" s="28">
        <v>1</v>
      </c>
      <c r="Q226" s="28">
        <v>1</v>
      </c>
      <c r="R226" s="18" t="s">
        <v>45</v>
      </c>
      <c r="S226" s="28">
        <v>1</v>
      </c>
      <c r="T226" s="19" t="s">
        <v>428</v>
      </c>
      <c r="U226" s="20">
        <f t="shared" si="92"/>
        <v>293.779</v>
      </c>
      <c r="V226" s="20">
        <v>293.779</v>
      </c>
      <c r="W226" s="20"/>
      <c r="X226" s="20"/>
      <c r="Y226" s="21"/>
      <c r="Z226" s="50">
        <v>284.27999999999997</v>
      </c>
      <c r="AA226" s="50">
        <v>0</v>
      </c>
      <c r="AB226" s="50">
        <v>9.5</v>
      </c>
      <c r="AC226" s="50">
        <f t="shared" si="113"/>
        <v>293.77999999999997</v>
      </c>
      <c r="AD226" s="23">
        <f t="shared" si="120"/>
        <v>289.37799999999999</v>
      </c>
      <c r="AE226" s="23">
        <f t="shared" si="101"/>
        <v>280.02034801552179</v>
      </c>
      <c r="AF226" s="23">
        <f t="shared" si="102"/>
        <v>0</v>
      </c>
      <c r="AG226" s="23">
        <f t="shared" si="103"/>
        <v>9.3576519844781814</v>
      </c>
      <c r="AH226" s="23">
        <f t="shared" si="104"/>
        <v>38.583733333333335</v>
      </c>
      <c r="AI226" s="23">
        <f t="shared" si="105"/>
        <v>19.291866666666667</v>
      </c>
      <c r="AJ226" s="23">
        <f t="shared" si="106"/>
        <v>57.875599999999999</v>
      </c>
      <c r="AK226" s="30"/>
      <c r="AL226" s="24"/>
      <c r="AM226" s="24"/>
      <c r="AN226" s="24"/>
      <c r="AO226" s="24"/>
      <c r="AP226" s="30"/>
      <c r="AQ226" s="24"/>
      <c r="AR226" s="30">
        <v>293.779</v>
      </c>
      <c r="AS226" s="30"/>
      <c r="AT226" s="30"/>
      <c r="AU226" s="24"/>
      <c r="AV226" s="30"/>
    </row>
    <row r="227" spans="1:48" s="25" customFormat="1" ht="36.75" customHeight="1" x14ac:dyDescent="0.3">
      <c r="A227" s="26">
        <v>218</v>
      </c>
      <c r="B227" s="26"/>
      <c r="C227" s="16" t="s">
        <v>429</v>
      </c>
      <c r="D227" s="19" t="s">
        <v>430</v>
      </c>
      <c r="E227" s="17"/>
      <c r="F227" s="18"/>
      <c r="G227" s="17">
        <v>43912</v>
      </c>
      <c r="H227" s="28">
        <v>1</v>
      </c>
      <c r="I227" s="18" t="s">
        <v>45</v>
      </c>
      <c r="J227" s="18" t="s">
        <v>45</v>
      </c>
      <c r="K227" s="18" t="s">
        <v>45</v>
      </c>
      <c r="L227" s="18" t="s">
        <v>45</v>
      </c>
      <c r="M227" s="28">
        <v>1</v>
      </c>
      <c r="N227" s="18" t="s">
        <v>45</v>
      </c>
      <c r="O227" s="28">
        <v>1</v>
      </c>
      <c r="P227" s="28">
        <v>1</v>
      </c>
      <c r="Q227" s="28">
        <v>1</v>
      </c>
      <c r="R227" s="18" t="s">
        <v>45</v>
      </c>
      <c r="S227" s="28">
        <v>1</v>
      </c>
      <c r="T227" s="19" t="s">
        <v>431</v>
      </c>
      <c r="U227" s="20">
        <f t="shared" si="92"/>
        <v>17601.503000000001</v>
      </c>
      <c r="V227" s="20">
        <v>17601.503000000001</v>
      </c>
      <c r="W227" s="20"/>
      <c r="X227" s="20"/>
      <c r="Y227" s="21"/>
      <c r="Z227" s="50">
        <v>15255.4</v>
      </c>
      <c r="AA227" s="50">
        <v>196.8</v>
      </c>
      <c r="AB227" s="50">
        <v>2149.3000000000002</v>
      </c>
      <c r="AC227" s="50">
        <f t="shared" si="113"/>
        <v>17601.5</v>
      </c>
      <c r="AD227" s="23">
        <f t="shared" si="120"/>
        <v>2020.15</v>
      </c>
      <c r="AE227" s="23">
        <f t="shared" si="101"/>
        <v>1750.884658125728</v>
      </c>
      <c r="AF227" s="23">
        <f t="shared" si="102"/>
        <v>22.587024969462831</v>
      </c>
      <c r="AG227" s="23">
        <f t="shared" si="103"/>
        <v>246.67831690480926</v>
      </c>
      <c r="AH227" s="23">
        <f t="shared" si="104"/>
        <v>269.35333333333335</v>
      </c>
      <c r="AI227" s="23">
        <f t="shared" si="105"/>
        <v>134.67666666666668</v>
      </c>
      <c r="AJ227" s="23">
        <f t="shared" si="106"/>
        <v>404.03000000000003</v>
      </c>
      <c r="AK227" s="30"/>
      <c r="AL227" s="24"/>
      <c r="AM227" s="24"/>
      <c r="AN227" s="24"/>
      <c r="AO227" s="24"/>
      <c r="AP227" s="30"/>
      <c r="AQ227" s="24"/>
      <c r="AR227" s="30"/>
      <c r="AS227" s="30"/>
      <c r="AT227" s="30"/>
      <c r="AU227" s="24"/>
      <c r="AV227" s="30"/>
    </row>
    <row r="228" spans="1:48" s="42" customFormat="1" x14ac:dyDescent="0.3">
      <c r="A228" s="31"/>
      <c r="B228" s="31"/>
      <c r="C228" s="32" t="s">
        <v>52</v>
      </c>
      <c r="D228" s="33"/>
      <c r="E228" s="34"/>
      <c r="F228" s="35"/>
      <c r="G228" s="36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3"/>
      <c r="U228" s="76">
        <f>SUM(U225:U227)</f>
        <v>19593.082000000002</v>
      </c>
      <c r="V228" s="76">
        <f t="shared" ref="V228:AC228" si="121">SUM(V225:V227)</f>
        <v>17895.281999999999</v>
      </c>
      <c r="W228" s="76">
        <f t="shared" si="121"/>
        <v>0</v>
      </c>
      <c r="X228" s="76">
        <f t="shared" si="121"/>
        <v>0</v>
      </c>
      <c r="Y228" s="77">
        <f t="shared" si="121"/>
        <v>19593.099999999999</v>
      </c>
      <c r="Z228" s="39">
        <f t="shared" si="121"/>
        <v>17237.48</v>
      </c>
      <c r="AA228" s="39">
        <f t="shared" si="121"/>
        <v>196.8</v>
      </c>
      <c r="AB228" s="39">
        <f t="shared" si="121"/>
        <v>2158.8000000000002</v>
      </c>
      <c r="AC228" s="39">
        <f t="shared" si="121"/>
        <v>19593.080000000002</v>
      </c>
      <c r="AD228" s="40">
        <f t="shared" si="120"/>
        <v>2219.308</v>
      </c>
      <c r="AE228" s="40">
        <f t="shared" si="101"/>
        <v>1952.4892086308021</v>
      </c>
      <c r="AF228" s="40">
        <f t="shared" si="102"/>
        <v>22.291534276387377</v>
      </c>
      <c r="AG228" s="40">
        <f t="shared" si="103"/>
        <v>244.52725709281032</v>
      </c>
      <c r="AH228" s="40">
        <f t="shared" si="104"/>
        <v>295.90773333333334</v>
      </c>
      <c r="AI228" s="40">
        <f t="shared" si="105"/>
        <v>147.95386666666667</v>
      </c>
      <c r="AJ228" s="40">
        <f t="shared" si="106"/>
        <v>443.86160000000001</v>
      </c>
      <c r="AK228" s="41"/>
      <c r="AL228" s="41"/>
      <c r="AM228" s="41"/>
      <c r="AN228" s="41"/>
      <c r="AO228" s="41"/>
      <c r="AP228" s="41"/>
      <c r="AQ228" s="41"/>
      <c r="AR228" s="41">
        <v>1265.779</v>
      </c>
      <c r="AS228" s="41"/>
      <c r="AT228" s="41"/>
      <c r="AU228" s="41"/>
      <c r="AV228" s="41"/>
    </row>
    <row r="229" spans="1:48" s="25" customFormat="1" ht="19.5" customHeight="1" x14ac:dyDescent="0.3">
      <c r="A229" s="15">
        <v>38</v>
      </c>
      <c r="B229" s="15" t="s">
        <v>432</v>
      </c>
      <c r="C229" s="16" t="s">
        <v>43</v>
      </c>
      <c r="D229" s="19"/>
      <c r="E229" s="17"/>
      <c r="F229" s="18"/>
      <c r="G229" s="17"/>
      <c r="H229" s="18"/>
      <c r="I229" s="18"/>
      <c r="J229" s="43"/>
      <c r="K229" s="18"/>
      <c r="L229" s="18"/>
      <c r="M229" s="18"/>
      <c r="N229" s="18"/>
      <c r="O229" s="18"/>
      <c r="P229" s="18"/>
      <c r="Q229" s="18"/>
      <c r="R229" s="18"/>
      <c r="S229" s="18"/>
      <c r="T229" s="19"/>
      <c r="U229" s="20">
        <v>581.70000000000005</v>
      </c>
      <c r="V229" s="20"/>
      <c r="W229" s="20"/>
      <c r="X229" s="20"/>
      <c r="Y229" s="21">
        <v>880.2</v>
      </c>
      <c r="Z229" s="22">
        <f>U229-AA229-AB229</f>
        <v>469.59000000000003</v>
      </c>
      <c r="AA229" s="22">
        <f>IF([35]Заяц_беляк!$N$5=0,"",[35]Заяц_беляк!$N$5)</f>
        <v>97</v>
      </c>
      <c r="AB229" s="22">
        <v>15.11</v>
      </c>
      <c r="AC229" s="22">
        <f t="shared" ref="AC229:AC234" si="122">IF(SUM(Z229:AB229)=0,"",SUM(Z229:AB229))</f>
        <v>581.70000000000005</v>
      </c>
      <c r="AD229" s="23">
        <f t="shared" si="120"/>
        <v>318.17</v>
      </c>
      <c r="AE229" s="23">
        <f t="shared" si="101"/>
        <v>256.84966529138734</v>
      </c>
      <c r="AF229" s="23">
        <f t="shared" si="102"/>
        <v>53.055681622829638</v>
      </c>
      <c r="AG229" s="23">
        <f t="shared" si="103"/>
        <v>8.2646530857830491</v>
      </c>
      <c r="AH229" s="23">
        <f t="shared" si="104"/>
        <v>42.422666666666672</v>
      </c>
      <c r="AI229" s="23">
        <f t="shared" si="105"/>
        <v>21.211333333333336</v>
      </c>
      <c r="AJ229" s="23">
        <f t="shared" si="106"/>
        <v>63.634</v>
      </c>
      <c r="AK229" s="24"/>
      <c r="AL229" s="24"/>
      <c r="AM229" s="44"/>
      <c r="AN229" s="24"/>
      <c r="AO229" s="24"/>
      <c r="AP229" s="24"/>
      <c r="AQ229" s="24"/>
      <c r="AR229" s="24">
        <v>330</v>
      </c>
      <c r="AS229" s="24"/>
      <c r="AT229" s="24"/>
      <c r="AU229" s="24"/>
      <c r="AV229" s="24"/>
    </row>
    <row r="230" spans="1:48" s="25" customFormat="1" ht="38.25" customHeight="1" x14ac:dyDescent="0.3">
      <c r="A230" s="26">
        <v>222</v>
      </c>
      <c r="B230" s="26"/>
      <c r="C230" s="16" t="s">
        <v>433</v>
      </c>
      <c r="D230" s="19" t="s">
        <v>434</v>
      </c>
      <c r="E230" s="17">
        <v>41295</v>
      </c>
      <c r="F230" s="18">
        <v>55</v>
      </c>
      <c r="G230" s="17"/>
      <c r="H230" s="28">
        <v>1</v>
      </c>
      <c r="I230" s="18" t="s">
        <v>45</v>
      </c>
      <c r="J230" s="43" t="s">
        <v>45</v>
      </c>
      <c r="K230" s="18" t="s">
        <v>45</v>
      </c>
      <c r="L230" s="18" t="s">
        <v>45</v>
      </c>
      <c r="M230" s="18" t="s">
        <v>45</v>
      </c>
      <c r="N230" s="18" t="s">
        <v>45</v>
      </c>
      <c r="O230" s="28">
        <v>1</v>
      </c>
      <c r="P230" s="28">
        <v>1</v>
      </c>
      <c r="Q230" s="28">
        <v>1</v>
      </c>
      <c r="R230" s="28">
        <v>1</v>
      </c>
      <c r="S230" s="28">
        <v>1</v>
      </c>
      <c r="T230" s="19" t="s">
        <v>135</v>
      </c>
      <c r="U230" s="20">
        <f t="shared" si="92"/>
        <v>108.693</v>
      </c>
      <c r="V230" s="20">
        <v>108.693</v>
      </c>
      <c r="W230" s="20"/>
      <c r="X230" s="20"/>
      <c r="Y230" s="21"/>
      <c r="Z230" s="29">
        <v>108.693</v>
      </c>
      <c r="AA230" s="29">
        <v>0</v>
      </c>
      <c r="AB230" s="29">
        <v>0</v>
      </c>
      <c r="AC230" s="29">
        <f t="shared" si="122"/>
        <v>108.693</v>
      </c>
      <c r="AD230" s="23">
        <f t="shared" ref="AD230:AD231" si="123">160+(AC230-50)*0.8</f>
        <v>206.95439999999999</v>
      </c>
      <c r="AE230" s="23">
        <f t="shared" si="101"/>
        <v>206.95439999999999</v>
      </c>
      <c r="AF230" s="23">
        <f t="shared" si="102"/>
        <v>0</v>
      </c>
      <c r="AG230" s="23">
        <f t="shared" si="103"/>
        <v>0</v>
      </c>
      <c r="AH230" s="23">
        <f t="shared" si="104"/>
        <v>27.593919999999997</v>
      </c>
      <c r="AI230" s="23">
        <f t="shared" si="105"/>
        <v>13.79696</v>
      </c>
      <c r="AJ230" s="23">
        <f t="shared" si="106"/>
        <v>41.390879999999996</v>
      </c>
      <c r="AK230" s="30"/>
      <c r="AL230" s="24"/>
      <c r="AM230" s="44"/>
      <c r="AN230" s="24"/>
      <c r="AO230" s="24"/>
      <c r="AP230" s="24"/>
      <c r="AQ230" s="24"/>
      <c r="AR230" s="30">
        <v>108.693</v>
      </c>
      <c r="AS230" s="30"/>
      <c r="AT230" s="30"/>
      <c r="AU230" s="30"/>
      <c r="AV230" s="30"/>
    </row>
    <row r="231" spans="1:48" s="25" customFormat="1" ht="39" customHeight="1" x14ac:dyDescent="0.3">
      <c r="A231" s="26"/>
      <c r="B231" s="26"/>
      <c r="C231" s="16" t="s">
        <v>435</v>
      </c>
      <c r="D231" s="19" t="s">
        <v>436</v>
      </c>
      <c r="E231" s="17">
        <v>41337</v>
      </c>
      <c r="F231" s="18">
        <v>57</v>
      </c>
      <c r="G231" s="17"/>
      <c r="H231" s="28">
        <v>1</v>
      </c>
      <c r="I231" s="18" t="s">
        <v>45</v>
      </c>
      <c r="J231" s="43" t="s">
        <v>45</v>
      </c>
      <c r="K231" s="18" t="s">
        <v>45</v>
      </c>
      <c r="L231" s="18" t="s">
        <v>45</v>
      </c>
      <c r="M231" s="18" t="s">
        <v>45</v>
      </c>
      <c r="N231" s="18" t="s">
        <v>45</v>
      </c>
      <c r="O231" s="28">
        <v>1</v>
      </c>
      <c r="P231" s="28">
        <v>1</v>
      </c>
      <c r="Q231" s="28">
        <v>1</v>
      </c>
      <c r="R231" s="28">
        <v>1</v>
      </c>
      <c r="S231" s="28">
        <v>1</v>
      </c>
      <c r="T231" s="19" t="s">
        <v>437</v>
      </c>
      <c r="U231" s="20">
        <f t="shared" si="92"/>
        <v>59.713000000000001</v>
      </c>
      <c r="V231" s="20">
        <v>59.713000000000001</v>
      </c>
      <c r="W231" s="20"/>
      <c r="X231" s="20"/>
      <c r="Y231" s="21"/>
      <c r="Z231" s="22">
        <v>59.713000000000001</v>
      </c>
      <c r="AA231" s="22">
        <v>0</v>
      </c>
      <c r="AB231" s="22">
        <v>0</v>
      </c>
      <c r="AC231" s="22">
        <f t="shared" si="122"/>
        <v>59.713000000000001</v>
      </c>
      <c r="AD231" s="23">
        <f t="shared" si="123"/>
        <v>167.7704</v>
      </c>
      <c r="AE231" s="23">
        <f t="shared" si="101"/>
        <v>167.7704</v>
      </c>
      <c r="AF231" s="23">
        <f t="shared" si="102"/>
        <v>0</v>
      </c>
      <c r="AG231" s="23">
        <f t="shared" si="103"/>
        <v>0</v>
      </c>
      <c r="AH231" s="23">
        <f t="shared" si="104"/>
        <v>22.369386666666667</v>
      </c>
      <c r="AI231" s="23">
        <f t="shared" si="105"/>
        <v>11.184693333333334</v>
      </c>
      <c r="AJ231" s="23">
        <f t="shared" si="106"/>
        <v>33.554079999999999</v>
      </c>
      <c r="AK231" s="30"/>
      <c r="AL231" s="24"/>
      <c r="AM231" s="44"/>
      <c r="AN231" s="24"/>
      <c r="AO231" s="24"/>
      <c r="AP231" s="24"/>
      <c r="AQ231" s="24"/>
      <c r="AR231" s="30">
        <v>59.713000000000001</v>
      </c>
      <c r="AS231" s="30"/>
      <c r="AT231" s="30"/>
      <c r="AU231" s="30"/>
      <c r="AV231" s="30"/>
    </row>
    <row r="232" spans="1:48" s="25" customFormat="1" ht="40.5" customHeight="1" x14ac:dyDescent="0.3">
      <c r="A232" s="26">
        <v>224</v>
      </c>
      <c r="B232" s="26"/>
      <c r="C232" s="16" t="s">
        <v>438</v>
      </c>
      <c r="D232" s="19" t="s">
        <v>439</v>
      </c>
      <c r="E232" s="17">
        <v>41334</v>
      </c>
      <c r="F232" s="18">
        <v>56</v>
      </c>
      <c r="G232" s="17"/>
      <c r="H232" s="28">
        <v>1</v>
      </c>
      <c r="I232" s="18" t="s">
        <v>45</v>
      </c>
      <c r="J232" s="43" t="s">
        <v>45</v>
      </c>
      <c r="K232" s="18" t="s">
        <v>45</v>
      </c>
      <c r="L232" s="18" t="s">
        <v>45</v>
      </c>
      <c r="M232" s="18" t="s">
        <v>45</v>
      </c>
      <c r="N232" s="18" t="s">
        <v>45</v>
      </c>
      <c r="O232" s="28">
        <v>1</v>
      </c>
      <c r="P232" s="28">
        <v>1</v>
      </c>
      <c r="Q232" s="28">
        <v>1</v>
      </c>
      <c r="R232" s="28">
        <v>1</v>
      </c>
      <c r="S232" s="28">
        <v>1</v>
      </c>
      <c r="T232" s="19" t="s">
        <v>437</v>
      </c>
      <c r="U232" s="20">
        <f t="shared" si="92"/>
        <v>24.917000000000002</v>
      </c>
      <c r="V232" s="20">
        <v>24.917000000000002</v>
      </c>
      <c r="W232" s="20"/>
      <c r="X232" s="20"/>
      <c r="Y232" s="21"/>
      <c r="Z232" s="29">
        <v>21.22</v>
      </c>
      <c r="AA232" s="29">
        <v>0</v>
      </c>
      <c r="AB232" s="29">
        <v>3.7</v>
      </c>
      <c r="AC232" s="29">
        <f t="shared" si="122"/>
        <v>24.919999999999998</v>
      </c>
      <c r="AD232" s="23">
        <f t="shared" ref="AD232:AD233" si="124">100+(AC232-20)*2</f>
        <v>109.84</v>
      </c>
      <c r="AE232" s="23">
        <f t="shared" si="101"/>
        <v>93.53149277688604</v>
      </c>
      <c r="AF232" s="23">
        <f t="shared" si="102"/>
        <v>0</v>
      </c>
      <c r="AG232" s="23">
        <f t="shared" si="103"/>
        <v>16.308507223113967</v>
      </c>
      <c r="AH232" s="23">
        <f t="shared" si="104"/>
        <v>14.645333333333333</v>
      </c>
      <c r="AI232" s="23">
        <f t="shared" si="105"/>
        <v>7.3226666666666667</v>
      </c>
      <c r="AJ232" s="23">
        <f t="shared" si="106"/>
        <v>21.968</v>
      </c>
      <c r="AK232" s="30"/>
      <c r="AL232" s="24"/>
      <c r="AM232" s="44"/>
      <c r="AN232" s="24"/>
      <c r="AO232" s="24"/>
      <c r="AP232" s="24"/>
      <c r="AQ232" s="24"/>
      <c r="AR232" s="30">
        <v>24.917000000000002</v>
      </c>
      <c r="AS232" s="30"/>
      <c r="AT232" s="30"/>
      <c r="AU232" s="30"/>
      <c r="AV232" s="30"/>
    </row>
    <row r="233" spans="1:48" s="25" customFormat="1" ht="38.25" customHeight="1" x14ac:dyDescent="0.3">
      <c r="A233" s="26">
        <v>225</v>
      </c>
      <c r="B233" s="26"/>
      <c r="C233" s="16" t="s">
        <v>440</v>
      </c>
      <c r="D233" s="19"/>
      <c r="E233" s="17">
        <v>41607</v>
      </c>
      <c r="F233" s="18">
        <v>78</v>
      </c>
      <c r="G233" s="17"/>
      <c r="H233" s="28">
        <v>1</v>
      </c>
      <c r="I233" s="18" t="s">
        <v>45</v>
      </c>
      <c r="J233" s="43" t="s">
        <v>45</v>
      </c>
      <c r="K233" s="18" t="s">
        <v>45</v>
      </c>
      <c r="L233" s="18" t="s">
        <v>45</v>
      </c>
      <c r="M233" s="18" t="s">
        <v>45</v>
      </c>
      <c r="N233" s="18" t="s">
        <v>45</v>
      </c>
      <c r="O233" s="28">
        <v>1</v>
      </c>
      <c r="P233" s="28">
        <v>1</v>
      </c>
      <c r="Q233" s="28">
        <v>1</v>
      </c>
      <c r="R233" s="28">
        <v>1</v>
      </c>
      <c r="S233" s="28">
        <v>1</v>
      </c>
      <c r="T233" s="19" t="s">
        <v>441</v>
      </c>
      <c r="U233" s="20">
        <f t="shared" si="92"/>
        <v>29.526999999999997</v>
      </c>
      <c r="V233" s="20">
        <v>21.58</v>
      </c>
      <c r="W233" s="20">
        <v>7.9470000000000001</v>
      </c>
      <c r="X233" s="20"/>
      <c r="Y233" s="21"/>
      <c r="Z233" s="29">
        <v>26.577000000000002</v>
      </c>
      <c r="AA233" s="29">
        <v>0</v>
      </c>
      <c r="AB233" s="29">
        <v>2.95</v>
      </c>
      <c r="AC233" s="29">
        <f t="shared" si="122"/>
        <v>29.527000000000001</v>
      </c>
      <c r="AD233" s="23">
        <f t="shared" si="124"/>
        <v>119.054</v>
      </c>
      <c r="AE233" s="23">
        <f t="shared" si="101"/>
        <v>107.15948650387782</v>
      </c>
      <c r="AF233" s="23">
        <f t="shared" si="102"/>
        <v>0</v>
      </c>
      <c r="AG233" s="23">
        <f t="shared" si="103"/>
        <v>11.894513496122194</v>
      </c>
      <c r="AH233" s="23">
        <f t="shared" si="104"/>
        <v>15.873866666666666</v>
      </c>
      <c r="AI233" s="23">
        <f t="shared" si="105"/>
        <v>7.9369333333333332</v>
      </c>
      <c r="AJ233" s="23">
        <f t="shared" si="106"/>
        <v>23.8108</v>
      </c>
      <c r="AK233" s="30"/>
      <c r="AL233" s="24"/>
      <c r="AM233" s="44"/>
      <c r="AN233" s="24"/>
      <c r="AO233" s="24"/>
      <c r="AP233" s="24"/>
      <c r="AQ233" s="24"/>
      <c r="AR233" s="30">
        <v>29.526999999999997</v>
      </c>
      <c r="AS233" s="30"/>
      <c r="AT233" s="30"/>
      <c r="AU233" s="30"/>
      <c r="AV233" s="30"/>
    </row>
    <row r="234" spans="1:48" s="25" customFormat="1" ht="36" customHeight="1" x14ac:dyDescent="0.3">
      <c r="A234" s="26">
        <v>226</v>
      </c>
      <c r="B234" s="26"/>
      <c r="C234" s="16" t="s">
        <v>442</v>
      </c>
      <c r="D234" s="19" t="s">
        <v>362</v>
      </c>
      <c r="E234" s="17">
        <v>41810</v>
      </c>
      <c r="F234" s="18">
        <v>103</v>
      </c>
      <c r="G234" s="17"/>
      <c r="H234" s="28">
        <v>1</v>
      </c>
      <c r="I234" s="18" t="s">
        <v>45</v>
      </c>
      <c r="J234" s="43" t="s">
        <v>45</v>
      </c>
      <c r="K234" s="18" t="s">
        <v>45</v>
      </c>
      <c r="L234" s="18" t="s">
        <v>45</v>
      </c>
      <c r="M234" s="18" t="s">
        <v>45</v>
      </c>
      <c r="N234" s="18" t="s">
        <v>45</v>
      </c>
      <c r="O234" s="28">
        <v>1</v>
      </c>
      <c r="P234" s="18" t="s">
        <v>45</v>
      </c>
      <c r="Q234" s="28">
        <v>1</v>
      </c>
      <c r="R234" s="28">
        <v>1</v>
      </c>
      <c r="S234" s="18" t="s">
        <v>45</v>
      </c>
      <c r="T234" s="19" t="s">
        <v>443</v>
      </c>
      <c r="U234" s="20">
        <f t="shared" si="92"/>
        <v>75.674999999999997</v>
      </c>
      <c r="V234" s="20">
        <v>75.674999999999997</v>
      </c>
      <c r="W234" s="20"/>
      <c r="X234" s="20"/>
      <c r="Y234" s="21"/>
      <c r="Z234" s="29">
        <f>V234-AA234-AB234</f>
        <v>66.674999999999997</v>
      </c>
      <c r="AA234" s="29">
        <f>IF([36]Заяц_беляк!$N$5=0,"",[36]Заяц_беляк!$N$5)</f>
        <v>2</v>
      </c>
      <c r="AB234" s="29">
        <f>IF([36]Заяц_беляк!$O$5=0,"",[36]Заяц_беляк!$O$5)</f>
        <v>7</v>
      </c>
      <c r="AC234" s="29">
        <f t="shared" si="122"/>
        <v>75.674999999999997</v>
      </c>
      <c r="AD234" s="23">
        <f>160+(AC234-50)*0.8</f>
        <v>180.54</v>
      </c>
      <c r="AE234" s="23">
        <f t="shared" si="101"/>
        <v>159.06844400396432</v>
      </c>
      <c r="AF234" s="23">
        <f t="shared" si="102"/>
        <v>4.7714568880079282</v>
      </c>
      <c r="AG234" s="23">
        <f t="shared" si="103"/>
        <v>16.70009910802775</v>
      </c>
      <c r="AH234" s="23">
        <f t="shared" si="104"/>
        <v>24.071999999999999</v>
      </c>
      <c r="AI234" s="23">
        <f t="shared" si="105"/>
        <v>12.036</v>
      </c>
      <c r="AJ234" s="23">
        <f t="shared" si="106"/>
        <v>36.107999999999997</v>
      </c>
      <c r="AK234" s="30"/>
      <c r="AL234" s="24"/>
      <c r="AM234" s="44"/>
      <c r="AN234" s="24"/>
      <c r="AO234" s="24"/>
      <c r="AP234" s="24"/>
      <c r="AQ234" s="24"/>
      <c r="AR234" s="30">
        <v>75.674999999999997</v>
      </c>
      <c r="AS234" s="24"/>
      <c r="AT234" s="30"/>
      <c r="AU234" s="30"/>
      <c r="AV234" s="24"/>
    </row>
    <row r="235" spans="1:48" s="42" customFormat="1" x14ac:dyDescent="0.3">
      <c r="A235" s="31"/>
      <c r="B235" s="31"/>
      <c r="C235" s="32" t="s">
        <v>52</v>
      </c>
      <c r="D235" s="33"/>
      <c r="E235" s="34"/>
      <c r="F235" s="35"/>
      <c r="G235" s="36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3"/>
      <c r="U235" s="76">
        <f>SUM(U229:U234)</f>
        <v>880.22500000000002</v>
      </c>
      <c r="V235" s="76">
        <f t="shared" ref="V235:AC235" si="125">SUM(V229:V234)</f>
        <v>290.57800000000003</v>
      </c>
      <c r="W235" s="76">
        <f t="shared" si="125"/>
        <v>7.9470000000000001</v>
      </c>
      <c r="X235" s="76">
        <f t="shared" si="125"/>
        <v>0</v>
      </c>
      <c r="Y235" s="77">
        <f t="shared" si="125"/>
        <v>880.2</v>
      </c>
      <c r="Z235" s="39">
        <f t="shared" si="125"/>
        <v>752.46799999999996</v>
      </c>
      <c r="AA235" s="39">
        <f t="shared" si="125"/>
        <v>99</v>
      </c>
      <c r="AB235" s="39">
        <f t="shared" si="125"/>
        <v>28.759999999999998</v>
      </c>
      <c r="AC235" s="39">
        <f t="shared" si="125"/>
        <v>880.22799999999995</v>
      </c>
      <c r="AD235" s="40">
        <f>280+(AC235-200)*0.1</f>
        <v>348.02280000000002</v>
      </c>
      <c r="AE235" s="40">
        <f t="shared" si="101"/>
        <v>297.50930471468757</v>
      </c>
      <c r="AF235" s="40">
        <f t="shared" si="102"/>
        <v>39.142423553897402</v>
      </c>
      <c r="AG235" s="40">
        <f t="shared" si="103"/>
        <v>11.371071731415043</v>
      </c>
      <c r="AH235" s="40">
        <f t="shared" si="104"/>
        <v>46.403040000000004</v>
      </c>
      <c r="AI235" s="40">
        <f t="shared" si="105"/>
        <v>23.201520000000002</v>
      </c>
      <c r="AJ235" s="40">
        <f t="shared" si="106"/>
        <v>69.604560000000006</v>
      </c>
      <c r="AK235" s="41"/>
      <c r="AL235" s="41"/>
      <c r="AM235" s="41"/>
      <c r="AN235" s="41"/>
      <c r="AO235" s="41"/>
      <c r="AP235" s="41"/>
      <c r="AQ235" s="41"/>
      <c r="AR235" s="41">
        <v>628.52499999999998</v>
      </c>
      <c r="AS235" s="41"/>
      <c r="AT235" s="41"/>
      <c r="AU235" s="41"/>
      <c r="AV235" s="41"/>
    </row>
    <row r="236" spans="1:48" s="25" customFormat="1" ht="20.25" customHeight="1" x14ac:dyDescent="0.3">
      <c r="A236" s="15">
        <v>39</v>
      </c>
      <c r="B236" s="15" t="s">
        <v>444</v>
      </c>
      <c r="C236" s="16" t="s">
        <v>43</v>
      </c>
      <c r="D236" s="19"/>
      <c r="E236" s="17"/>
      <c r="F236" s="18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9"/>
      <c r="U236" s="20">
        <v>103.2</v>
      </c>
      <c r="V236" s="20"/>
      <c r="W236" s="20"/>
      <c r="X236" s="20"/>
      <c r="Y236" s="21">
        <v>350.2</v>
      </c>
      <c r="Z236" s="22">
        <v>10</v>
      </c>
      <c r="AA236" s="22">
        <v>93.2</v>
      </c>
      <c r="AB236" s="22">
        <v>0</v>
      </c>
      <c r="AC236" s="22">
        <f>IF(SUM(Z236:AB236)=0,"",SUM(Z236:AB236))</f>
        <v>103.2</v>
      </c>
      <c r="AD236" s="23">
        <f>160+(AC236-50)*0.8</f>
        <v>202.56</v>
      </c>
      <c r="AE236" s="23">
        <f t="shared" si="101"/>
        <v>19.627906976744185</v>
      </c>
      <c r="AF236" s="23">
        <f t="shared" si="102"/>
        <v>182.93209302325582</v>
      </c>
      <c r="AG236" s="23">
        <f t="shared" si="103"/>
        <v>0</v>
      </c>
      <c r="AH236" s="23">
        <f t="shared" si="104"/>
        <v>27.007999999999999</v>
      </c>
      <c r="AI236" s="23">
        <f t="shared" si="105"/>
        <v>13.504</v>
      </c>
      <c r="AJ236" s="23">
        <f t="shared" si="106"/>
        <v>40.512</v>
      </c>
      <c r="AK236" s="24"/>
      <c r="AL236" s="24"/>
      <c r="AM236" s="24"/>
      <c r="AN236" s="24"/>
      <c r="AO236" s="24"/>
      <c r="AP236" s="24"/>
      <c r="AQ236" s="24"/>
      <c r="AR236" s="24">
        <v>0</v>
      </c>
      <c r="AS236" s="24"/>
      <c r="AT236" s="24"/>
      <c r="AU236" s="24"/>
      <c r="AV236" s="24"/>
    </row>
    <row r="237" spans="1:48" s="25" customFormat="1" ht="54.75" customHeight="1" x14ac:dyDescent="0.3">
      <c r="A237" s="26"/>
      <c r="B237" s="26"/>
      <c r="C237" s="16" t="s">
        <v>445</v>
      </c>
      <c r="D237" s="19" t="s">
        <v>446</v>
      </c>
      <c r="E237" s="17"/>
      <c r="F237" s="18"/>
      <c r="G237" s="17">
        <v>42127</v>
      </c>
      <c r="H237" s="43">
        <v>1</v>
      </c>
      <c r="I237" s="28">
        <v>1</v>
      </c>
      <c r="J237" s="28">
        <v>1</v>
      </c>
      <c r="K237" s="18" t="s">
        <v>45</v>
      </c>
      <c r="L237" s="18" t="s">
        <v>45</v>
      </c>
      <c r="M237" s="18" t="s">
        <v>45</v>
      </c>
      <c r="N237" s="18" t="s">
        <v>45</v>
      </c>
      <c r="O237" s="28">
        <v>1</v>
      </c>
      <c r="P237" s="28">
        <v>1</v>
      </c>
      <c r="Q237" s="28">
        <v>1</v>
      </c>
      <c r="R237" s="28">
        <v>1</v>
      </c>
      <c r="S237" s="18" t="s">
        <v>45</v>
      </c>
      <c r="T237" s="19" t="s">
        <v>56</v>
      </c>
      <c r="U237" s="20">
        <f t="shared" si="92"/>
        <v>236.62900000000002</v>
      </c>
      <c r="V237" s="20">
        <v>11.645</v>
      </c>
      <c r="W237" s="20">
        <v>224.98400000000001</v>
      </c>
      <c r="X237" s="20"/>
      <c r="Y237" s="21"/>
      <c r="Z237" s="29">
        <v>35</v>
      </c>
      <c r="AA237" s="29">
        <v>191.4</v>
      </c>
      <c r="AB237" s="29">
        <v>9.1999999999999993</v>
      </c>
      <c r="AC237" s="29">
        <f>IF(SUM(Z237:AB237)=0,"",SUM(Z237:AB237))</f>
        <v>235.6</v>
      </c>
      <c r="AD237" s="23">
        <f>280+(AC237-200)*0.1</f>
        <v>283.56</v>
      </c>
      <c r="AE237" s="23">
        <f t="shared" si="101"/>
        <v>42.124787775891342</v>
      </c>
      <c r="AF237" s="23">
        <f t="shared" si="102"/>
        <v>230.36241086587438</v>
      </c>
      <c r="AG237" s="23">
        <f t="shared" si="103"/>
        <v>11.072801358234296</v>
      </c>
      <c r="AH237" s="23">
        <f t="shared" si="104"/>
        <v>37.808</v>
      </c>
      <c r="AI237" s="23">
        <f t="shared" si="105"/>
        <v>18.904</v>
      </c>
      <c r="AJ237" s="23">
        <f t="shared" si="106"/>
        <v>56.712000000000003</v>
      </c>
      <c r="AK237" s="44"/>
      <c r="AL237" s="30"/>
      <c r="AM237" s="30"/>
      <c r="AN237" s="24"/>
      <c r="AO237" s="24"/>
      <c r="AP237" s="24"/>
      <c r="AQ237" s="24"/>
      <c r="AR237" s="30">
        <v>50</v>
      </c>
      <c r="AS237" s="30"/>
      <c r="AT237" s="30"/>
      <c r="AU237" s="30"/>
      <c r="AV237" s="24"/>
    </row>
    <row r="238" spans="1:48" s="25" customFormat="1" ht="54.75" customHeight="1" x14ac:dyDescent="0.3">
      <c r="A238" s="26"/>
      <c r="B238" s="26"/>
      <c r="C238" s="16" t="s">
        <v>85</v>
      </c>
      <c r="D238" s="19" t="s">
        <v>122</v>
      </c>
      <c r="E238" s="17"/>
      <c r="F238" s="18"/>
      <c r="G238" s="17" t="s">
        <v>447</v>
      </c>
      <c r="H238" s="43">
        <v>1</v>
      </c>
      <c r="I238" s="28">
        <v>1</v>
      </c>
      <c r="J238" s="28">
        <v>1</v>
      </c>
      <c r="K238" s="28">
        <v>1</v>
      </c>
      <c r="L238" s="28">
        <v>1</v>
      </c>
      <c r="M238" s="28">
        <v>1</v>
      </c>
      <c r="N238" s="18" t="s">
        <v>45</v>
      </c>
      <c r="O238" s="28">
        <v>1</v>
      </c>
      <c r="P238" s="28">
        <v>1</v>
      </c>
      <c r="Q238" s="28">
        <v>1</v>
      </c>
      <c r="R238" s="28">
        <v>1</v>
      </c>
      <c r="S238" s="28">
        <v>1</v>
      </c>
      <c r="T238" s="19" t="s">
        <v>448</v>
      </c>
      <c r="U238" s="20">
        <v>10.33</v>
      </c>
      <c r="V238" s="20"/>
      <c r="W238" s="20"/>
      <c r="X238" s="20"/>
      <c r="Y238" s="21" t="s">
        <v>449</v>
      </c>
      <c r="Z238" s="29">
        <v>1.2</v>
      </c>
      <c r="AA238" s="29">
        <v>8.5299999999999994</v>
      </c>
      <c r="AB238" s="29">
        <v>0.6</v>
      </c>
      <c r="AC238" s="29">
        <f>IF(SUM(Z238:AB238)=0,"",SUM(Z238:AB238))</f>
        <v>10.329999999999998</v>
      </c>
      <c r="AD238" s="23">
        <f>50+(AC238-10)*5</f>
        <v>51.649999999999991</v>
      </c>
      <c r="AE238" s="23">
        <f t="shared" si="101"/>
        <v>6</v>
      </c>
      <c r="AF238" s="23">
        <f t="shared" si="102"/>
        <v>42.65</v>
      </c>
      <c r="AG238" s="23">
        <f t="shared" si="103"/>
        <v>3</v>
      </c>
      <c r="AH238" s="23">
        <f t="shared" si="104"/>
        <v>6.8866666666666658</v>
      </c>
      <c r="AI238" s="23">
        <f t="shared" si="105"/>
        <v>3.4433333333333329</v>
      </c>
      <c r="AJ238" s="23">
        <f t="shared" si="106"/>
        <v>10.329999999999998</v>
      </c>
      <c r="AK238" s="44"/>
      <c r="AL238" s="30"/>
      <c r="AM238" s="30"/>
      <c r="AN238" s="30"/>
      <c r="AO238" s="30"/>
      <c r="AP238" s="30"/>
      <c r="AQ238" s="24"/>
      <c r="AR238" s="30">
        <v>0</v>
      </c>
      <c r="AS238" s="30"/>
      <c r="AT238" s="30"/>
      <c r="AU238" s="30"/>
      <c r="AV238" s="30"/>
    </row>
    <row r="239" spans="1:48" s="42" customFormat="1" x14ac:dyDescent="0.3">
      <c r="A239" s="31"/>
      <c r="B239" s="31"/>
      <c r="C239" s="32" t="s">
        <v>52</v>
      </c>
      <c r="D239" s="33"/>
      <c r="E239" s="34"/>
      <c r="F239" s="35"/>
      <c r="G239" s="36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3"/>
      <c r="U239" s="76">
        <f>SUM(U236:U238)</f>
        <v>350.15899999999999</v>
      </c>
      <c r="V239" s="76">
        <f t="shared" ref="V239:AC239" si="126">SUM(V236:V238)</f>
        <v>11.645</v>
      </c>
      <c r="W239" s="76">
        <f t="shared" si="126"/>
        <v>224.98400000000001</v>
      </c>
      <c r="X239" s="76">
        <f t="shared" si="126"/>
        <v>0</v>
      </c>
      <c r="Y239" s="77">
        <f t="shared" si="126"/>
        <v>350.2</v>
      </c>
      <c r="Z239" s="39">
        <f t="shared" si="126"/>
        <v>46.2</v>
      </c>
      <c r="AA239" s="39">
        <f t="shared" si="126"/>
        <v>293.13</v>
      </c>
      <c r="AB239" s="39">
        <f t="shared" si="126"/>
        <v>9.7999999999999989</v>
      </c>
      <c r="AC239" s="39">
        <f t="shared" si="126"/>
        <v>349.13</v>
      </c>
      <c r="AD239" s="40">
        <f>280+(AC239-200)*0.1</f>
        <v>294.91300000000001</v>
      </c>
      <c r="AE239" s="40">
        <f t="shared" si="101"/>
        <v>39.025522298284308</v>
      </c>
      <c r="AF239" s="40">
        <f t="shared" si="102"/>
        <v>247.60933660814021</v>
      </c>
      <c r="AG239" s="40">
        <f t="shared" si="103"/>
        <v>8.2781410935754582</v>
      </c>
      <c r="AH239" s="40">
        <f t="shared" si="104"/>
        <v>39.321733333333334</v>
      </c>
      <c r="AI239" s="40">
        <f t="shared" si="105"/>
        <v>19.660866666666667</v>
      </c>
      <c r="AJ239" s="40">
        <f t="shared" si="106"/>
        <v>58.982600000000005</v>
      </c>
      <c r="AK239" s="41"/>
      <c r="AL239" s="41"/>
      <c r="AM239" s="41"/>
      <c r="AN239" s="41"/>
      <c r="AO239" s="41"/>
      <c r="AP239" s="41"/>
      <c r="AQ239" s="41"/>
      <c r="AR239" s="41">
        <v>50</v>
      </c>
      <c r="AS239" s="41"/>
      <c r="AT239" s="41"/>
      <c r="AU239" s="41"/>
      <c r="AV239" s="41"/>
    </row>
    <row r="240" spans="1:48" s="25" customFormat="1" ht="20.25" customHeight="1" x14ac:dyDescent="0.3">
      <c r="A240" s="15">
        <v>40</v>
      </c>
      <c r="B240" s="15" t="s">
        <v>450</v>
      </c>
      <c r="C240" s="16" t="s">
        <v>43</v>
      </c>
      <c r="D240" s="19"/>
      <c r="E240" s="17"/>
      <c r="F240" s="18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9"/>
      <c r="U240" s="20">
        <v>46.9</v>
      </c>
      <c r="V240" s="20"/>
      <c r="W240" s="20"/>
      <c r="X240" s="20"/>
      <c r="Y240" s="21">
        <v>213.6</v>
      </c>
      <c r="Z240" s="22">
        <v>46.9</v>
      </c>
      <c r="AA240" s="22">
        <v>0</v>
      </c>
      <c r="AB240" s="22">
        <v>0</v>
      </c>
      <c r="AC240" s="48">
        <f>IF(SUM(Z240:AB240)=0,"",SUM(Z240:AB240))</f>
        <v>46.9</v>
      </c>
      <c r="AD240" s="23">
        <f>100+(AC240-20)*2</f>
        <v>153.80000000000001</v>
      </c>
      <c r="AE240" s="23">
        <f t="shared" si="101"/>
        <v>153.80000000000001</v>
      </c>
      <c r="AF240" s="23">
        <f t="shared" si="102"/>
        <v>0</v>
      </c>
      <c r="AG240" s="23">
        <f t="shared" si="103"/>
        <v>0</v>
      </c>
      <c r="AH240" s="23">
        <f t="shared" si="104"/>
        <v>20.506666666666668</v>
      </c>
      <c r="AI240" s="23">
        <f t="shared" si="105"/>
        <v>10.253333333333334</v>
      </c>
      <c r="AJ240" s="23">
        <f t="shared" si="106"/>
        <v>30.76</v>
      </c>
      <c r="AK240" s="24"/>
      <c r="AL240" s="24"/>
      <c r="AM240" s="24"/>
      <c r="AN240" s="24"/>
      <c r="AO240" s="24"/>
      <c r="AP240" s="24"/>
      <c r="AQ240" s="24"/>
      <c r="AR240" s="24">
        <v>0</v>
      </c>
      <c r="AS240" s="24"/>
      <c r="AT240" s="24"/>
      <c r="AU240" s="24"/>
      <c r="AV240" s="24"/>
    </row>
    <row r="241" spans="1:48" s="72" customFormat="1" ht="55.5" customHeight="1" x14ac:dyDescent="0.25">
      <c r="A241" s="26"/>
      <c r="B241" s="26"/>
      <c r="C241" s="70" t="s">
        <v>85</v>
      </c>
      <c r="D241" s="19" t="s">
        <v>122</v>
      </c>
      <c r="E241" s="17">
        <v>41817</v>
      </c>
      <c r="F241" s="18">
        <v>104</v>
      </c>
      <c r="G241" s="17"/>
      <c r="H241" s="28">
        <v>1</v>
      </c>
      <c r="I241" s="18" t="s">
        <v>45</v>
      </c>
      <c r="J241" s="28">
        <v>1</v>
      </c>
      <c r="K241" s="18" t="s">
        <v>45</v>
      </c>
      <c r="L241" s="28">
        <v>1</v>
      </c>
      <c r="M241" s="18" t="s">
        <v>45</v>
      </c>
      <c r="N241" s="18" t="s">
        <v>45</v>
      </c>
      <c r="O241" s="28">
        <v>1</v>
      </c>
      <c r="P241" s="28">
        <v>1</v>
      </c>
      <c r="Q241" s="28">
        <v>1</v>
      </c>
      <c r="R241" s="28">
        <v>1</v>
      </c>
      <c r="S241" s="28">
        <v>1</v>
      </c>
      <c r="T241" s="19" t="s">
        <v>184</v>
      </c>
      <c r="U241" s="20">
        <f t="shared" si="92"/>
        <v>165.5787</v>
      </c>
      <c r="V241" s="20">
        <v>89.760999999999996</v>
      </c>
      <c r="W241" s="20">
        <v>0</v>
      </c>
      <c r="X241" s="20">
        <v>75.817700000000002</v>
      </c>
      <c r="Y241" s="21"/>
      <c r="Z241" s="50">
        <v>89.760999999999996</v>
      </c>
      <c r="AA241" s="50">
        <v>74.22</v>
      </c>
      <c r="AB241" s="50">
        <v>1.6</v>
      </c>
      <c r="AC241" s="50">
        <f>IF(SUM(Z241:AB241)=0,"",SUM(Z241:AB241))</f>
        <v>165.58099999999999</v>
      </c>
      <c r="AD241" s="23">
        <f>160+(AC241-50)*0.8</f>
        <v>252.4648</v>
      </c>
      <c r="AE241" s="23">
        <f t="shared" si="101"/>
        <v>136.86046655594544</v>
      </c>
      <c r="AF241" s="23">
        <f t="shared" si="102"/>
        <v>113.16478011366038</v>
      </c>
      <c r="AG241" s="23">
        <f t="shared" si="103"/>
        <v>2.4395533303941881</v>
      </c>
      <c r="AH241" s="23">
        <f t="shared" si="104"/>
        <v>33.661973333333336</v>
      </c>
      <c r="AI241" s="23">
        <f t="shared" si="105"/>
        <v>16.830986666666668</v>
      </c>
      <c r="AJ241" s="23">
        <f t="shared" si="106"/>
        <v>50.492959999999997</v>
      </c>
      <c r="AK241" s="30"/>
      <c r="AL241" s="24"/>
      <c r="AM241" s="30"/>
      <c r="AN241" s="24"/>
      <c r="AO241" s="30"/>
      <c r="AP241" s="24"/>
      <c r="AQ241" s="24"/>
      <c r="AR241" s="30">
        <v>96.5</v>
      </c>
      <c r="AS241" s="30"/>
      <c r="AT241" s="30"/>
      <c r="AU241" s="30"/>
      <c r="AV241" s="30"/>
    </row>
    <row r="242" spans="1:48" s="42" customFormat="1" x14ac:dyDescent="0.3">
      <c r="A242" s="31"/>
      <c r="B242" s="31"/>
      <c r="C242" s="32" t="s">
        <v>52</v>
      </c>
      <c r="D242" s="33"/>
      <c r="E242" s="34"/>
      <c r="F242" s="35"/>
      <c r="G242" s="36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3"/>
      <c r="U242" s="76">
        <f>SUM(U240:U241)</f>
        <v>212.4787</v>
      </c>
      <c r="V242" s="76">
        <f t="shared" ref="V242:AC242" si="127">SUM(V240:V241)</f>
        <v>89.760999999999996</v>
      </c>
      <c r="W242" s="76">
        <f t="shared" si="127"/>
        <v>0</v>
      </c>
      <c r="X242" s="76">
        <f t="shared" si="127"/>
        <v>75.817700000000002</v>
      </c>
      <c r="Y242" s="77">
        <f t="shared" si="127"/>
        <v>213.6</v>
      </c>
      <c r="Z242" s="39">
        <f t="shared" si="127"/>
        <v>136.661</v>
      </c>
      <c r="AA242" s="39">
        <f t="shared" si="127"/>
        <v>74.22</v>
      </c>
      <c r="AB242" s="39">
        <f t="shared" si="127"/>
        <v>1.6</v>
      </c>
      <c r="AC242" s="39">
        <f t="shared" si="127"/>
        <v>212.48099999999999</v>
      </c>
      <c r="AD242" s="40">
        <f>280+(AC242-200)*0.1</f>
        <v>281.24810000000002</v>
      </c>
      <c r="AE242" s="40">
        <f t="shared" si="101"/>
        <v>180.88980470771509</v>
      </c>
      <c r="AF242" s="40">
        <f t="shared" si="102"/>
        <v>98.240473181131506</v>
      </c>
      <c r="AG242" s="40">
        <f t="shared" si="103"/>
        <v>2.1178221111534681</v>
      </c>
      <c r="AH242" s="40">
        <f t="shared" si="104"/>
        <v>37.499746666666667</v>
      </c>
      <c r="AI242" s="40">
        <f t="shared" si="105"/>
        <v>18.749873333333333</v>
      </c>
      <c r="AJ242" s="40">
        <f t="shared" si="106"/>
        <v>56.249620000000007</v>
      </c>
      <c r="AK242" s="41"/>
      <c r="AL242" s="41"/>
      <c r="AM242" s="41"/>
      <c r="AN242" s="41"/>
      <c r="AO242" s="41"/>
      <c r="AP242" s="41"/>
      <c r="AQ242" s="41"/>
      <c r="AR242" s="41">
        <v>96.5</v>
      </c>
      <c r="AS242" s="41"/>
      <c r="AT242" s="41"/>
      <c r="AU242" s="41"/>
      <c r="AV242" s="41"/>
    </row>
    <row r="243" spans="1:48" s="25" customFormat="1" ht="20.25" customHeight="1" x14ac:dyDescent="0.3">
      <c r="A243" s="15">
        <v>41</v>
      </c>
      <c r="B243" s="15" t="s">
        <v>451</v>
      </c>
      <c r="C243" s="16" t="s">
        <v>43</v>
      </c>
      <c r="D243" s="19"/>
      <c r="E243" s="17"/>
      <c r="F243" s="18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9"/>
      <c r="U243" s="20">
        <v>64.2</v>
      </c>
      <c r="V243" s="20"/>
      <c r="W243" s="20"/>
      <c r="X243" s="20"/>
      <c r="Y243" s="21">
        <v>311.39999999999998</v>
      </c>
      <c r="Z243" s="22">
        <v>64.2</v>
      </c>
      <c r="AA243" s="22">
        <v>0</v>
      </c>
      <c r="AB243" s="22">
        <v>0</v>
      </c>
      <c r="AC243" s="22">
        <f>SUM(Z243:AB243)</f>
        <v>64.2</v>
      </c>
      <c r="AD243" s="23">
        <f t="shared" ref="AD243:AD244" si="128">160+(AC243-50)*0.8</f>
        <v>171.36</v>
      </c>
      <c r="AE243" s="23">
        <f t="shared" si="101"/>
        <v>171.36</v>
      </c>
      <c r="AF243" s="23">
        <f t="shared" si="102"/>
        <v>0</v>
      </c>
      <c r="AG243" s="23">
        <f t="shared" si="103"/>
        <v>0</v>
      </c>
      <c r="AH243" s="23">
        <f t="shared" si="104"/>
        <v>22.848000000000003</v>
      </c>
      <c r="AI243" s="23">
        <f t="shared" si="105"/>
        <v>11.424000000000001</v>
      </c>
      <c r="AJ243" s="23">
        <f t="shared" si="106"/>
        <v>34.272000000000006</v>
      </c>
      <c r="AK243" s="24"/>
      <c r="AL243" s="24"/>
      <c r="AM243" s="24"/>
      <c r="AN243" s="24"/>
      <c r="AO243" s="24"/>
      <c r="AP243" s="24"/>
      <c r="AQ243" s="24"/>
      <c r="AR243" s="24">
        <v>0</v>
      </c>
      <c r="AS243" s="24"/>
      <c r="AT243" s="24"/>
      <c r="AU243" s="24"/>
      <c r="AV243" s="24"/>
    </row>
    <row r="244" spans="1:48" s="25" customFormat="1" ht="73.5" customHeight="1" x14ac:dyDescent="0.3">
      <c r="A244" s="26"/>
      <c r="B244" s="26"/>
      <c r="C244" s="16" t="s">
        <v>452</v>
      </c>
      <c r="D244" s="19" t="s">
        <v>453</v>
      </c>
      <c r="E244" s="17">
        <v>41687</v>
      </c>
      <c r="F244" s="18" t="s">
        <v>454</v>
      </c>
      <c r="G244" s="17"/>
      <c r="H244" s="43">
        <v>1</v>
      </c>
      <c r="I244" s="28">
        <v>1</v>
      </c>
      <c r="J244" s="28">
        <v>1</v>
      </c>
      <c r="K244" s="18" t="s">
        <v>45</v>
      </c>
      <c r="L244" s="18" t="s">
        <v>45</v>
      </c>
      <c r="M244" s="18" t="s">
        <v>45</v>
      </c>
      <c r="N244" s="18" t="s">
        <v>45</v>
      </c>
      <c r="O244" s="28">
        <v>1</v>
      </c>
      <c r="P244" s="18" t="s">
        <v>45</v>
      </c>
      <c r="Q244" s="18" t="s">
        <v>45</v>
      </c>
      <c r="R244" s="28">
        <v>1</v>
      </c>
      <c r="S244" s="18" t="s">
        <v>45</v>
      </c>
      <c r="T244" s="19" t="s">
        <v>455</v>
      </c>
      <c r="U244" s="20">
        <f t="shared" si="92"/>
        <v>181.303</v>
      </c>
      <c r="V244" s="20">
        <v>57.886000000000003</v>
      </c>
      <c r="W244" s="20">
        <v>6.9909999999999997</v>
      </c>
      <c r="X244" s="20">
        <v>116.426</v>
      </c>
      <c r="Y244" s="21" t="s">
        <v>456</v>
      </c>
      <c r="Z244" s="29">
        <v>57.886000000000003</v>
      </c>
      <c r="AA244" s="29">
        <f>U244-Z244-AB244-2</f>
        <v>115.417</v>
      </c>
      <c r="AB244" s="29">
        <v>6</v>
      </c>
      <c r="AC244" s="29">
        <f>SUM(Z244:AB244)</f>
        <v>179.303</v>
      </c>
      <c r="AD244" s="23">
        <f t="shared" si="128"/>
        <v>263.44240000000002</v>
      </c>
      <c r="AE244" s="23">
        <f t="shared" si="101"/>
        <v>85.049479185512808</v>
      </c>
      <c r="AF244" s="23">
        <f t="shared" si="102"/>
        <v>169.57737171603375</v>
      </c>
      <c r="AG244" s="23">
        <f t="shared" si="103"/>
        <v>8.8155490984534559</v>
      </c>
      <c r="AH244" s="23">
        <f t="shared" si="104"/>
        <v>35.125653333333339</v>
      </c>
      <c r="AI244" s="23">
        <f t="shared" si="105"/>
        <v>17.56282666666667</v>
      </c>
      <c r="AJ244" s="23">
        <f t="shared" si="106"/>
        <v>52.688480000000006</v>
      </c>
      <c r="AK244" s="44"/>
      <c r="AL244" s="30"/>
      <c r="AM244" s="30"/>
      <c r="AN244" s="24"/>
      <c r="AO244" s="24"/>
      <c r="AP244" s="24"/>
      <c r="AQ244" s="24"/>
      <c r="AR244" s="30">
        <v>50</v>
      </c>
      <c r="AS244" s="24"/>
      <c r="AT244" s="24"/>
      <c r="AU244" s="30"/>
      <c r="AV244" s="24"/>
    </row>
    <row r="245" spans="1:48" s="25" customFormat="1" ht="39" customHeight="1" x14ac:dyDescent="0.3">
      <c r="A245" s="26"/>
      <c r="B245" s="26"/>
      <c r="C245" s="16" t="s">
        <v>457</v>
      </c>
      <c r="D245" s="19" t="s">
        <v>458</v>
      </c>
      <c r="E245" s="17">
        <v>40578</v>
      </c>
      <c r="F245" s="18">
        <v>4</v>
      </c>
      <c r="G245" s="17"/>
      <c r="H245" s="43">
        <v>1</v>
      </c>
      <c r="I245" s="18" t="s">
        <v>45</v>
      </c>
      <c r="J245" s="28">
        <v>1</v>
      </c>
      <c r="K245" s="18" t="s">
        <v>45</v>
      </c>
      <c r="L245" s="18" t="s">
        <v>45</v>
      </c>
      <c r="M245" s="18" t="s">
        <v>45</v>
      </c>
      <c r="N245" s="18" t="s">
        <v>45</v>
      </c>
      <c r="O245" s="18" t="s">
        <v>45</v>
      </c>
      <c r="P245" s="18" t="s">
        <v>45</v>
      </c>
      <c r="Q245" s="18" t="s">
        <v>45</v>
      </c>
      <c r="R245" s="18" t="s">
        <v>45</v>
      </c>
      <c r="S245" s="18" t="s">
        <v>45</v>
      </c>
      <c r="T245" s="19" t="s">
        <v>459</v>
      </c>
      <c r="U245" s="20">
        <f t="shared" si="92"/>
        <v>24.642000000000003</v>
      </c>
      <c r="V245" s="20">
        <v>6.0620000000000003</v>
      </c>
      <c r="W245" s="20">
        <v>9.9130000000000003</v>
      </c>
      <c r="X245" s="20">
        <v>8.6669999999999998</v>
      </c>
      <c r="Y245" s="21" t="s">
        <v>460</v>
      </c>
      <c r="Z245" s="29">
        <v>6.0620000000000003</v>
      </c>
      <c r="AA245" s="29">
        <v>12.7</v>
      </c>
      <c r="AB245" s="29">
        <v>0.3</v>
      </c>
      <c r="AC245" s="29">
        <f>SUM(Z245:AB245)</f>
        <v>19.062000000000001</v>
      </c>
      <c r="AD245" s="23">
        <f>50+(AC245-10)*5</f>
        <v>95.31</v>
      </c>
      <c r="AE245" s="23">
        <f t="shared" si="101"/>
        <v>30.31</v>
      </c>
      <c r="AF245" s="23">
        <f t="shared" si="102"/>
        <v>63.499999999999993</v>
      </c>
      <c r="AG245" s="23">
        <f t="shared" si="103"/>
        <v>1.5</v>
      </c>
      <c r="AH245" s="23">
        <f t="shared" si="104"/>
        <v>12.708</v>
      </c>
      <c r="AI245" s="23">
        <f t="shared" si="105"/>
        <v>6.3540000000000001</v>
      </c>
      <c r="AJ245" s="23">
        <f t="shared" si="106"/>
        <v>19.062000000000001</v>
      </c>
      <c r="AK245" s="44"/>
      <c r="AL245" s="24"/>
      <c r="AM245" s="30"/>
      <c r="AN245" s="24"/>
      <c r="AO245" s="24"/>
      <c r="AP245" s="24"/>
      <c r="AQ245" s="24"/>
      <c r="AR245" s="24">
        <v>0</v>
      </c>
      <c r="AS245" s="24"/>
      <c r="AT245" s="24"/>
      <c r="AU245" s="24"/>
      <c r="AV245" s="24"/>
    </row>
    <row r="246" spans="1:48" s="25" customFormat="1" ht="39" customHeight="1" x14ac:dyDescent="0.3">
      <c r="A246" s="26"/>
      <c r="B246" s="26"/>
      <c r="C246" s="16" t="s">
        <v>461</v>
      </c>
      <c r="D246" s="19" t="s">
        <v>462</v>
      </c>
      <c r="E246" s="17"/>
      <c r="F246" s="18"/>
      <c r="G246" s="27">
        <v>42093</v>
      </c>
      <c r="H246" s="43">
        <v>1</v>
      </c>
      <c r="I246" s="28">
        <v>1</v>
      </c>
      <c r="J246" s="28">
        <v>1</v>
      </c>
      <c r="K246" s="18" t="s">
        <v>45</v>
      </c>
      <c r="L246" s="18" t="s">
        <v>45</v>
      </c>
      <c r="M246" s="18" t="s">
        <v>45</v>
      </c>
      <c r="N246" s="18" t="s">
        <v>45</v>
      </c>
      <c r="O246" s="28">
        <v>1</v>
      </c>
      <c r="P246" s="28">
        <v>1</v>
      </c>
      <c r="Q246" s="28">
        <v>1</v>
      </c>
      <c r="R246" s="28">
        <v>1</v>
      </c>
      <c r="S246" s="28">
        <v>1</v>
      </c>
      <c r="T246" s="19" t="s">
        <v>180</v>
      </c>
      <c r="U246" s="20">
        <v>41.247999999999998</v>
      </c>
      <c r="V246" s="20" t="s">
        <v>73</v>
      </c>
      <c r="W246" s="20" t="s">
        <v>463</v>
      </c>
      <c r="X246" s="20"/>
      <c r="Y246" s="21"/>
      <c r="Z246" s="29">
        <v>14.35</v>
      </c>
      <c r="AA246" s="29">
        <v>23</v>
      </c>
      <c r="AB246" s="29">
        <v>3.9</v>
      </c>
      <c r="AC246" s="29">
        <f>IF(SUM(Z246:AB246)=0,"",SUM(Z246:AB246))</f>
        <v>41.25</v>
      </c>
      <c r="AD246" s="23">
        <f>100+(AC246-20)*2</f>
        <v>142.5</v>
      </c>
      <c r="AE246" s="23">
        <f t="shared" si="101"/>
        <v>49.572727272727271</v>
      </c>
      <c r="AF246" s="23">
        <f t="shared" si="102"/>
        <v>79.454545454545453</v>
      </c>
      <c r="AG246" s="23">
        <f t="shared" si="103"/>
        <v>13.472727272727273</v>
      </c>
      <c r="AH246" s="23">
        <f t="shared" si="104"/>
        <v>19</v>
      </c>
      <c r="AI246" s="23">
        <f t="shared" si="105"/>
        <v>9.5</v>
      </c>
      <c r="AJ246" s="23">
        <f t="shared" si="106"/>
        <v>28.5</v>
      </c>
      <c r="AK246" s="44"/>
      <c r="AL246" s="30"/>
      <c r="AM246" s="30"/>
      <c r="AN246" s="24"/>
      <c r="AO246" s="24"/>
      <c r="AP246" s="24"/>
      <c r="AQ246" s="24"/>
      <c r="AR246" s="30">
        <v>0</v>
      </c>
      <c r="AS246" s="30"/>
      <c r="AT246" s="30"/>
      <c r="AU246" s="30"/>
      <c r="AV246" s="30"/>
    </row>
    <row r="247" spans="1:48" s="42" customFormat="1" x14ac:dyDescent="0.3">
      <c r="A247" s="31"/>
      <c r="B247" s="31"/>
      <c r="C247" s="32" t="s">
        <v>52</v>
      </c>
      <c r="D247" s="33"/>
      <c r="E247" s="34"/>
      <c r="F247" s="35"/>
      <c r="G247" s="36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3"/>
      <c r="U247" s="76">
        <f>SUM(U243:U246)</f>
        <v>311.39299999999997</v>
      </c>
      <c r="V247" s="76">
        <f t="shared" ref="V247:AC247" si="129">SUM(V243:V246)</f>
        <v>63.948</v>
      </c>
      <c r="W247" s="76">
        <f t="shared" si="129"/>
        <v>16.904</v>
      </c>
      <c r="X247" s="76">
        <f t="shared" si="129"/>
        <v>125.093</v>
      </c>
      <c r="Y247" s="77">
        <f t="shared" si="129"/>
        <v>311.39999999999998</v>
      </c>
      <c r="Z247" s="39">
        <f t="shared" si="129"/>
        <v>142.49800000000002</v>
      </c>
      <c r="AA247" s="39">
        <f t="shared" si="129"/>
        <v>151.11699999999999</v>
      </c>
      <c r="AB247" s="39">
        <f t="shared" si="129"/>
        <v>10.199999999999999</v>
      </c>
      <c r="AC247" s="39">
        <f t="shared" si="129"/>
        <v>303.815</v>
      </c>
      <c r="AD247" s="40">
        <f>280+(AC247-200)*0.1</f>
        <v>290.38150000000002</v>
      </c>
      <c r="AE247" s="40">
        <f t="shared" si="101"/>
        <v>136.19730094629958</v>
      </c>
      <c r="AF247" s="40">
        <f t="shared" si="102"/>
        <v>144.4352027895265</v>
      </c>
      <c r="AG247" s="40">
        <f t="shared" si="103"/>
        <v>9.7489962641739218</v>
      </c>
      <c r="AH247" s="40">
        <f t="shared" si="104"/>
        <v>38.717533333333336</v>
      </c>
      <c r="AI247" s="40">
        <f t="shared" si="105"/>
        <v>19.358766666666668</v>
      </c>
      <c r="AJ247" s="40">
        <f t="shared" si="106"/>
        <v>58.076300000000003</v>
      </c>
      <c r="AK247" s="41"/>
      <c r="AL247" s="41"/>
      <c r="AM247" s="41"/>
      <c r="AN247" s="41"/>
      <c r="AO247" s="41"/>
      <c r="AP247" s="41"/>
      <c r="AQ247" s="41"/>
      <c r="AR247" s="41">
        <v>50</v>
      </c>
      <c r="AS247" s="41"/>
      <c r="AT247" s="41"/>
      <c r="AU247" s="41"/>
      <c r="AV247" s="41"/>
    </row>
    <row r="248" spans="1:48" s="72" customFormat="1" ht="18.75" customHeight="1" x14ac:dyDescent="0.3">
      <c r="A248" s="15">
        <v>42</v>
      </c>
      <c r="B248" s="15" t="s">
        <v>464</v>
      </c>
      <c r="C248" s="16" t="s">
        <v>43</v>
      </c>
      <c r="D248" s="19"/>
      <c r="E248" s="17"/>
      <c r="F248" s="18"/>
      <c r="G248" s="17"/>
      <c r="H248" s="18"/>
      <c r="I248" s="18"/>
      <c r="J248" s="18"/>
      <c r="K248" s="18"/>
      <c r="L248" s="18"/>
      <c r="M248" s="43"/>
      <c r="N248" s="18"/>
      <c r="O248" s="18"/>
      <c r="P248" s="18"/>
      <c r="Q248" s="18"/>
      <c r="R248" s="18"/>
      <c r="S248" s="18"/>
      <c r="T248" s="19"/>
      <c r="U248" s="20">
        <v>15.8</v>
      </c>
      <c r="V248" s="20"/>
      <c r="W248" s="20"/>
      <c r="X248" s="20"/>
      <c r="Y248" s="21">
        <v>706.7</v>
      </c>
      <c r="Z248" s="48">
        <v>15.8</v>
      </c>
      <c r="AA248" s="48">
        <v>0</v>
      </c>
      <c r="AB248" s="48">
        <v>0</v>
      </c>
      <c r="AC248" s="48">
        <f>SUM(Z248:AB248)</f>
        <v>15.8</v>
      </c>
      <c r="AD248" s="23">
        <f>50+(AC248-10)*5</f>
        <v>79</v>
      </c>
      <c r="AE248" s="23">
        <f t="shared" si="101"/>
        <v>79</v>
      </c>
      <c r="AF248" s="23">
        <f t="shared" si="102"/>
        <v>0</v>
      </c>
      <c r="AG248" s="23">
        <f t="shared" si="103"/>
        <v>0</v>
      </c>
      <c r="AH248" s="23">
        <f t="shared" si="104"/>
        <v>10.533333333333333</v>
      </c>
      <c r="AI248" s="23">
        <f t="shared" si="105"/>
        <v>5.2666666666666666</v>
      </c>
      <c r="AJ248" s="23">
        <f t="shared" si="106"/>
        <v>15.8</v>
      </c>
      <c r="AK248" s="24"/>
      <c r="AL248" s="24"/>
      <c r="AM248" s="24"/>
      <c r="AN248" s="24"/>
      <c r="AO248" s="24"/>
      <c r="AP248" s="44"/>
      <c r="AQ248" s="24"/>
      <c r="AR248" s="24">
        <v>15.8</v>
      </c>
      <c r="AS248" s="24"/>
      <c r="AT248" s="24"/>
      <c r="AU248" s="24"/>
      <c r="AV248" s="24"/>
    </row>
    <row r="249" spans="1:48" s="72" customFormat="1" ht="36.75" customHeight="1" x14ac:dyDescent="0.25">
      <c r="A249" s="26"/>
      <c r="B249" s="26"/>
      <c r="C249" s="70" t="s">
        <v>465</v>
      </c>
      <c r="D249" s="19" t="s">
        <v>466</v>
      </c>
      <c r="E249" s="17"/>
      <c r="F249" s="18"/>
      <c r="G249" s="17">
        <v>42127</v>
      </c>
      <c r="H249" s="28">
        <v>1</v>
      </c>
      <c r="I249" s="28">
        <v>1</v>
      </c>
      <c r="J249" s="28">
        <v>1</v>
      </c>
      <c r="K249" s="28">
        <v>1</v>
      </c>
      <c r="L249" s="28">
        <v>1</v>
      </c>
      <c r="M249" s="43" t="s">
        <v>45</v>
      </c>
      <c r="N249" s="18" t="s">
        <v>45</v>
      </c>
      <c r="O249" s="28">
        <v>1</v>
      </c>
      <c r="P249" s="28">
        <v>1</v>
      </c>
      <c r="Q249" s="28">
        <v>1</v>
      </c>
      <c r="R249" s="18" t="s">
        <v>45</v>
      </c>
      <c r="S249" s="28">
        <v>1</v>
      </c>
      <c r="T249" s="19" t="s">
        <v>467</v>
      </c>
      <c r="U249" s="20">
        <f t="shared" si="92"/>
        <v>645.60699999999997</v>
      </c>
      <c r="V249" s="20">
        <v>645.60699999999997</v>
      </c>
      <c r="W249" s="20"/>
      <c r="X249" s="20"/>
      <c r="Y249" s="21"/>
      <c r="Z249" s="29">
        <v>645.6</v>
      </c>
      <c r="AA249" s="29">
        <v>0</v>
      </c>
      <c r="AB249" s="29">
        <v>0</v>
      </c>
      <c r="AC249" s="29">
        <f>IF(SUM(Z249:AB249)=0,"",SUM(Z249:AB249))</f>
        <v>645.6</v>
      </c>
      <c r="AD249" s="23">
        <f>280+(AC249-200)*0.1</f>
        <v>324.56</v>
      </c>
      <c r="AE249" s="23">
        <f t="shared" si="101"/>
        <v>324.56</v>
      </c>
      <c r="AF249" s="23">
        <f t="shared" si="102"/>
        <v>0</v>
      </c>
      <c r="AG249" s="23">
        <f t="shared" si="103"/>
        <v>0</v>
      </c>
      <c r="AH249" s="23">
        <f t="shared" si="104"/>
        <v>43.274666666666668</v>
      </c>
      <c r="AI249" s="23">
        <f t="shared" si="105"/>
        <v>21.637333333333334</v>
      </c>
      <c r="AJ249" s="23">
        <f t="shared" si="106"/>
        <v>64.912000000000006</v>
      </c>
      <c r="AK249" s="30"/>
      <c r="AL249" s="30"/>
      <c r="AM249" s="30"/>
      <c r="AN249" s="30"/>
      <c r="AO249" s="30"/>
      <c r="AP249" s="44"/>
      <c r="AQ249" s="24"/>
      <c r="AR249" s="30">
        <v>645.60699999999997</v>
      </c>
      <c r="AS249" s="30"/>
      <c r="AT249" s="30"/>
      <c r="AU249" s="24"/>
      <c r="AV249" s="30"/>
    </row>
    <row r="250" spans="1:48" s="25" customFormat="1" ht="37.5" customHeight="1" x14ac:dyDescent="0.3">
      <c r="A250" s="26"/>
      <c r="B250" s="26"/>
      <c r="C250" s="16" t="s">
        <v>468</v>
      </c>
      <c r="D250" s="19" t="s">
        <v>469</v>
      </c>
      <c r="E250" s="17"/>
      <c r="F250" s="18"/>
      <c r="G250" s="17">
        <v>42364</v>
      </c>
      <c r="H250" s="28">
        <v>1</v>
      </c>
      <c r="I250" s="28">
        <v>1</v>
      </c>
      <c r="J250" s="28">
        <v>1</v>
      </c>
      <c r="K250" s="28">
        <v>1</v>
      </c>
      <c r="L250" s="28">
        <v>1</v>
      </c>
      <c r="M250" s="43" t="s">
        <v>45</v>
      </c>
      <c r="N250" s="18" t="s">
        <v>45</v>
      </c>
      <c r="O250" s="28">
        <v>1</v>
      </c>
      <c r="P250" s="28">
        <v>1</v>
      </c>
      <c r="Q250" s="28">
        <v>1</v>
      </c>
      <c r="R250" s="28">
        <v>1</v>
      </c>
      <c r="S250" s="28">
        <v>1</v>
      </c>
      <c r="T250" s="19" t="s">
        <v>470</v>
      </c>
      <c r="U250" s="20">
        <f t="shared" si="92"/>
        <v>176.42400000000001</v>
      </c>
      <c r="V250" s="20">
        <v>75.316000000000003</v>
      </c>
      <c r="W250" s="20">
        <v>101.108</v>
      </c>
      <c r="X250" s="20"/>
      <c r="Y250" s="21"/>
      <c r="Z250" s="29">
        <f>IF([37]Заяц_беляк!$M$5=0,"",[37]Заяц_беляк!$M$5)</f>
        <v>92.4</v>
      </c>
      <c r="AA250" s="29">
        <f>IF([37]Заяц_беляк!$N$5=0,"",[37]Заяц_беляк!$N$5)</f>
        <v>84</v>
      </c>
      <c r="AB250" s="29">
        <v>0</v>
      </c>
      <c r="AC250" s="29">
        <f>IF(SUM(Z250:AB250)=0,"",SUM(Z250:AB250))</f>
        <v>176.4</v>
      </c>
      <c r="AD250" s="23">
        <f>160+(AC250-50)*0.8</f>
        <v>261.12</v>
      </c>
      <c r="AE250" s="23">
        <f t="shared" si="101"/>
        <v>136.77714285714285</v>
      </c>
      <c r="AF250" s="23">
        <f t="shared" si="102"/>
        <v>124.34285714285716</v>
      </c>
      <c r="AG250" s="23">
        <f t="shared" si="103"/>
        <v>0</v>
      </c>
      <c r="AH250" s="23">
        <f t="shared" si="104"/>
        <v>34.816000000000003</v>
      </c>
      <c r="AI250" s="23">
        <f t="shared" si="105"/>
        <v>17.408000000000001</v>
      </c>
      <c r="AJ250" s="23">
        <f t="shared" si="106"/>
        <v>52.224000000000004</v>
      </c>
      <c r="AK250" s="30"/>
      <c r="AL250" s="30"/>
      <c r="AM250" s="30"/>
      <c r="AN250" s="30"/>
      <c r="AO250" s="30"/>
      <c r="AP250" s="44"/>
      <c r="AQ250" s="24"/>
      <c r="AR250" s="30">
        <v>92.424000000000007</v>
      </c>
      <c r="AS250" s="30"/>
      <c r="AT250" s="30"/>
      <c r="AU250" s="30"/>
      <c r="AV250" s="30"/>
    </row>
    <row r="251" spans="1:48" s="42" customFormat="1" x14ac:dyDescent="0.3">
      <c r="A251" s="31"/>
      <c r="B251" s="31"/>
      <c r="C251" s="32" t="s">
        <v>52</v>
      </c>
      <c r="D251" s="33"/>
      <c r="E251" s="34"/>
      <c r="F251" s="35"/>
      <c r="G251" s="36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3"/>
      <c r="U251" s="76">
        <f>SUM(U248:U250)</f>
        <v>837.8309999999999</v>
      </c>
      <c r="V251" s="76">
        <f t="shared" ref="V251:AC251" si="130">SUM(V248:V250)</f>
        <v>720.923</v>
      </c>
      <c r="W251" s="76">
        <f t="shared" si="130"/>
        <v>101.108</v>
      </c>
      <c r="X251" s="76">
        <f t="shared" si="130"/>
        <v>0</v>
      </c>
      <c r="Y251" s="77">
        <f t="shared" si="130"/>
        <v>706.7</v>
      </c>
      <c r="Z251" s="39">
        <f t="shared" si="130"/>
        <v>753.8</v>
      </c>
      <c r="AA251" s="39">
        <f t="shared" si="130"/>
        <v>84</v>
      </c>
      <c r="AB251" s="39">
        <f t="shared" si="130"/>
        <v>0</v>
      </c>
      <c r="AC251" s="39">
        <f t="shared" si="130"/>
        <v>837.8</v>
      </c>
      <c r="AD251" s="40">
        <f>280+(AC251-200)*0.1</f>
        <v>343.78</v>
      </c>
      <c r="AE251" s="40">
        <f t="shared" si="101"/>
        <v>309.31172594891382</v>
      </c>
      <c r="AF251" s="40">
        <f t="shared" si="102"/>
        <v>34.468274051086176</v>
      </c>
      <c r="AG251" s="40">
        <f t="shared" si="103"/>
        <v>0</v>
      </c>
      <c r="AH251" s="40">
        <f t="shared" si="104"/>
        <v>45.837333333333333</v>
      </c>
      <c r="AI251" s="40">
        <f t="shared" si="105"/>
        <v>22.918666666666663</v>
      </c>
      <c r="AJ251" s="40">
        <f t="shared" si="106"/>
        <v>68.756</v>
      </c>
      <c r="AK251" s="41"/>
      <c r="AL251" s="41"/>
      <c r="AM251" s="41"/>
      <c r="AN251" s="41"/>
      <c r="AO251" s="41"/>
      <c r="AP251" s="41"/>
      <c r="AQ251" s="41"/>
      <c r="AR251" s="41">
        <v>753.8309999999999</v>
      </c>
      <c r="AS251" s="41"/>
      <c r="AT251" s="41"/>
      <c r="AU251" s="41"/>
      <c r="AV251" s="41"/>
    </row>
    <row r="252" spans="1:48" s="25" customFormat="1" ht="21.75" customHeight="1" x14ac:dyDescent="0.3">
      <c r="A252" s="15">
        <v>43</v>
      </c>
      <c r="B252" s="15" t="s">
        <v>471</v>
      </c>
      <c r="C252" s="16" t="s">
        <v>472</v>
      </c>
      <c r="D252" s="19"/>
      <c r="E252" s="17"/>
      <c r="F252" s="18"/>
      <c r="G252" s="17"/>
      <c r="H252" s="18"/>
      <c r="I252" s="18"/>
      <c r="J252" s="18"/>
      <c r="K252" s="18"/>
      <c r="L252" s="18"/>
      <c r="M252" s="28"/>
      <c r="N252" s="18"/>
      <c r="O252" s="18"/>
      <c r="P252" s="18"/>
      <c r="Q252" s="28"/>
      <c r="R252" s="18"/>
      <c r="S252" s="18"/>
      <c r="T252" s="19"/>
      <c r="U252" s="20">
        <v>49230</v>
      </c>
      <c r="V252" s="20"/>
      <c r="W252" s="20"/>
      <c r="X252" s="20"/>
      <c r="Y252" s="21"/>
      <c r="Z252" s="29"/>
      <c r="AA252" s="29"/>
      <c r="AB252" s="29"/>
      <c r="AC252" s="29"/>
      <c r="AD252" s="23"/>
      <c r="AE252" s="23"/>
      <c r="AF252" s="23"/>
      <c r="AG252" s="23"/>
      <c r="AH252" s="23"/>
      <c r="AI252" s="23"/>
      <c r="AJ252" s="23"/>
      <c r="AK252" s="24"/>
      <c r="AL252" s="24"/>
      <c r="AM252" s="24"/>
      <c r="AN252" s="24"/>
      <c r="AO252" s="24"/>
      <c r="AP252" s="30"/>
      <c r="AQ252" s="24"/>
      <c r="AR252" s="24">
        <v>32000</v>
      </c>
      <c r="AS252" s="24"/>
      <c r="AT252" s="30"/>
      <c r="AU252" s="24"/>
      <c r="AV252" s="24"/>
    </row>
    <row r="253" spans="1:48" s="25" customFormat="1" ht="21.75" customHeight="1" x14ac:dyDescent="0.3">
      <c r="A253" s="26"/>
      <c r="B253" s="26"/>
      <c r="C253" s="16" t="s">
        <v>473</v>
      </c>
      <c r="D253" s="19"/>
      <c r="E253" s="17"/>
      <c r="F253" s="18"/>
      <c r="G253" s="17"/>
      <c r="H253" s="18"/>
      <c r="I253" s="18"/>
      <c r="J253" s="18"/>
      <c r="K253" s="18"/>
      <c r="L253" s="18"/>
      <c r="M253" s="28"/>
      <c r="N253" s="18"/>
      <c r="O253" s="18"/>
      <c r="P253" s="18"/>
      <c r="Q253" s="28"/>
      <c r="R253" s="18"/>
      <c r="S253" s="18"/>
      <c r="T253" s="19"/>
      <c r="U253" s="20">
        <v>14800</v>
      </c>
      <c r="V253" s="20"/>
      <c r="W253" s="20"/>
      <c r="X253" s="20"/>
      <c r="Y253" s="21"/>
      <c r="Z253" s="29"/>
      <c r="AA253" s="29"/>
      <c r="AB253" s="29"/>
      <c r="AC253" s="29"/>
      <c r="AD253" s="23"/>
      <c r="AE253" s="23"/>
      <c r="AF253" s="23"/>
      <c r="AG253" s="23"/>
      <c r="AH253" s="23"/>
      <c r="AI253" s="23"/>
      <c r="AJ253" s="23"/>
      <c r="AK253" s="24"/>
      <c r="AL253" s="24"/>
      <c r="AM253" s="24"/>
      <c r="AN253" s="24"/>
      <c r="AO253" s="24"/>
      <c r="AP253" s="30"/>
      <c r="AQ253" s="24"/>
      <c r="AR253" s="24">
        <v>14800</v>
      </c>
      <c r="AS253" s="24"/>
      <c r="AT253" s="30"/>
      <c r="AU253" s="24"/>
      <c r="AV253" s="24"/>
    </row>
    <row r="254" spans="1:48" s="25" customFormat="1" ht="21.75" customHeight="1" x14ac:dyDescent="0.3">
      <c r="A254" s="26"/>
      <c r="B254" s="26"/>
      <c r="C254" s="16" t="s">
        <v>474</v>
      </c>
      <c r="D254" s="19"/>
      <c r="E254" s="17"/>
      <c r="F254" s="18"/>
      <c r="G254" s="17"/>
      <c r="H254" s="18"/>
      <c r="I254" s="18"/>
      <c r="J254" s="18"/>
      <c r="K254" s="18"/>
      <c r="L254" s="18"/>
      <c r="M254" s="28"/>
      <c r="N254" s="18"/>
      <c r="O254" s="18"/>
      <c r="P254" s="18"/>
      <c r="Q254" s="28"/>
      <c r="R254" s="18"/>
      <c r="S254" s="18"/>
      <c r="T254" s="19"/>
      <c r="U254" s="20">
        <v>10860</v>
      </c>
      <c r="V254" s="20"/>
      <c r="W254" s="20"/>
      <c r="X254" s="20"/>
      <c r="Y254" s="21"/>
      <c r="Z254" s="29"/>
      <c r="AA254" s="29"/>
      <c r="AB254" s="29"/>
      <c r="AC254" s="29"/>
      <c r="AD254" s="23"/>
      <c r="AE254" s="23"/>
      <c r="AF254" s="23"/>
      <c r="AG254" s="23"/>
      <c r="AH254" s="23"/>
      <c r="AI254" s="23"/>
      <c r="AJ254" s="23"/>
      <c r="AK254" s="24"/>
      <c r="AL254" s="24"/>
      <c r="AM254" s="24"/>
      <c r="AN254" s="24"/>
      <c r="AO254" s="24"/>
      <c r="AP254" s="30"/>
      <c r="AQ254" s="24"/>
      <c r="AR254" s="24">
        <v>10860</v>
      </c>
      <c r="AS254" s="24"/>
      <c r="AT254" s="30"/>
      <c r="AU254" s="24"/>
      <c r="AV254" s="24"/>
    </row>
    <row r="255" spans="1:48" s="25" customFormat="1" ht="20.25" customHeight="1" x14ac:dyDescent="0.3">
      <c r="A255" s="26"/>
      <c r="B255" s="26"/>
      <c r="C255" s="88" t="s">
        <v>475</v>
      </c>
      <c r="D255" s="19"/>
      <c r="E255" s="17"/>
      <c r="F255" s="18"/>
      <c r="G255" s="17"/>
      <c r="H255" s="18"/>
      <c r="I255" s="18" t="s">
        <v>45</v>
      </c>
      <c r="J255" s="18" t="s">
        <v>45</v>
      </c>
      <c r="K255" s="18"/>
      <c r="L255" s="18" t="s">
        <v>45</v>
      </c>
      <c r="M255" s="28">
        <v>1</v>
      </c>
      <c r="N255" s="18" t="s">
        <v>45</v>
      </c>
      <c r="O255" s="18"/>
      <c r="P255" s="18"/>
      <c r="Q255" s="28">
        <v>1</v>
      </c>
      <c r="R255" s="18" t="s">
        <v>45</v>
      </c>
      <c r="S255" s="18"/>
      <c r="T255" s="19"/>
      <c r="U255" s="20">
        <v>42391.6</v>
      </c>
      <c r="V255" s="20"/>
      <c r="W255" s="20"/>
      <c r="X255" s="20"/>
      <c r="Y255" s="21">
        <v>74937.3</v>
      </c>
      <c r="Z255" s="29"/>
      <c r="AA255" s="29"/>
      <c r="AB255" s="29"/>
      <c r="AC255" s="29"/>
      <c r="AD255" s="23"/>
      <c r="AE255" s="23"/>
      <c r="AF255" s="23"/>
      <c r="AG255" s="23"/>
      <c r="AH255" s="23"/>
      <c r="AI255" s="23"/>
      <c r="AJ255" s="23"/>
      <c r="AK255" s="24"/>
      <c r="AL255" s="24"/>
      <c r="AM255" s="24"/>
      <c r="AN255" s="24"/>
      <c r="AO255" s="24"/>
      <c r="AP255" s="30"/>
      <c r="AQ255" s="24"/>
      <c r="AR255" s="24">
        <v>30000</v>
      </c>
      <c r="AS255" s="24"/>
      <c r="AT255" s="30"/>
      <c r="AU255" s="24"/>
      <c r="AV255" s="24"/>
    </row>
    <row r="256" spans="1:48" ht="56.25" customHeight="1" x14ac:dyDescent="0.3">
      <c r="A256" s="26"/>
      <c r="B256" s="26"/>
      <c r="C256" s="88" t="s">
        <v>476</v>
      </c>
      <c r="D256" s="16"/>
      <c r="E256" s="17"/>
      <c r="F256" s="18"/>
      <c r="G256" s="17"/>
      <c r="H256" s="18"/>
      <c r="I256" s="18" t="s">
        <v>45</v>
      </c>
      <c r="J256" s="18" t="s">
        <v>45</v>
      </c>
      <c r="K256" s="18"/>
      <c r="L256" s="18" t="s">
        <v>45</v>
      </c>
      <c r="M256" s="28">
        <v>1</v>
      </c>
      <c r="N256" s="18" t="s">
        <v>45</v>
      </c>
      <c r="O256" s="18"/>
      <c r="P256" s="18"/>
      <c r="Q256" s="28">
        <v>1</v>
      </c>
      <c r="R256" s="18" t="s">
        <v>45</v>
      </c>
      <c r="S256" s="18"/>
      <c r="T256" s="19"/>
      <c r="U256" s="20">
        <f>V256+W256+X256</f>
        <v>0</v>
      </c>
      <c r="V256" s="20"/>
      <c r="W256" s="20"/>
      <c r="X256" s="20"/>
      <c r="Y256" s="21"/>
      <c r="Z256" s="29"/>
      <c r="AA256" s="29"/>
      <c r="AB256" s="29"/>
      <c r="AC256" s="29"/>
      <c r="AD256" s="23"/>
      <c r="AE256" s="23"/>
      <c r="AF256" s="23"/>
      <c r="AG256" s="23"/>
      <c r="AH256" s="23"/>
      <c r="AI256" s="23"/>
      <c r="AJ256" s="23"/>
      <c r="AK256" s="24"/>
      <c r="AL256" s="24"/>
      <c r="AM256" s="24"/>
      <c r="AN256" s="24"/>
      <c r="AO256" s="24"/>
      <c r="AP256" s="30"/>
      <c r="AQ256" s="24"/>
      <c r="AR256" s="24">
        <v>222</v>
      </c>
      <c r="AS256" s="24"/>
      <c r="AT256" s="30"/>
      <c r="AU256" s="24"/>
      <c r="AV256" s="24"/>
    </row>
    <row r="257" spans="1:48" ht="35.25" hidden="1" customHeight="1" x14ac:dyDescent="0.3">
      <c r="A257" s="26"/>
      <c r="B257" s="26"/>
      <c r="C257" s="16" t="s">
        <v>477</v>
      </c>
      <c r="D257" s="19"/>
      <c r="E257" s="17"/>
      <c r="F257" s="18"/>
      <c r="G257" s="17"/>
      <c r="H257" s="18"/>
      <c r="I257" s="18" t="s">
        <v>45</v>
      </c>
      <c r="J257" s="18" t="s">
        <v>45</v>
      </c>
      <c r="K257" s="18"/>
      <c r="L257" s="18" t="s">
        <v>45</v>
      </c>
      <c r="M257" s="28">
        <v>1</v>
      </c>
      <c r="N257" s="18" t="s">
        <v>45</v>
      </c>
      <c r="O257" s="18"/>
      <c r="P257" s="18"/>
      <c r="Q257" s="28">
        <v>1</v>
      </c>
      <c r="R257" s="18" t="s">
        <v>45</v>
      </c>
      <c r="S257" s="18"/>
      <c r="T257" s="19"/>
      <c r="U257" s="20">
        <f t="shared" si="92"/>
        <v>0</v>
      </c>
      <c r="V257" s="20"/>
      <c r="W257" s="20"/>
      <c r="X257" s="20"/>
      <c r="Y257" s="21"/>
      <c r="Z257" s="29"/>
      <c r="AA257" s="29"/>
      <c r="AB257" s="29"/>
      <c r="AC257" s="29"/>
      <c r="AD257" s="23"/>
      <c r="AE257" s="23"/>
      <c r="AF257" s="23"/>
      <c r="AG257" s="23"/>
      <c r="AH257" s="23"/>
      <c r="AI257" s="23"/>
      <c r="AJ257" s="23"/>
      <c r="AK257" s="24"/>
      <c r="AL257" s="24"/>
      <c r="AM257" s="24"/>
      <c r="AN257" s="24"/>
      <c r="AO257" s="24"/>
      <c r="AP257" s="30"/>
      <c r="AQ257" s="24"/>
      <c r="AR257" s="24"/>
      <c r="AS257" s="24"/>
      <c r="AT257" s="30"/>
      <c r="AU257" s="24"/>
      <c r="AV257" s="24"/>
    </row>
    <row r="258" spans="1:48" s="89" customFormat="1" ht="38.25" hidden="1" customHeight="1" x14ac:dyDescent="0.3">
      <c r="A258" s="26"/>
      <c r="B258" s="26"/>
      <c r="C258" s="16" t="s">
        <v>478</v>
      </c>
      <c r="D258" s="16"/>
      <c r="E258" s="17"/>
      <c r="F258" s="18"/>
      <c r="G258" s="17"/>
      <c r="H258" s="18"/>
      <c r="I258" s="18" t="s">
        <v>45</v>
      </c>
      <c r="J258" s="18" t="s">
        <v>45</v>
      </c>
      <c r="K258" s="18"/>
      <c r="L258" s="18" t="s">
        <v>45</v>
      </c>
      <c r="M258" s="28">
        <v>1</v>
      </c>
      <c r="N258" s="18" t="s">
        <v>45</v>
      </c>
      <c r="O258" s="18"/>
      <c r="P258" s="18"/>
      <c r="Q258" s="28">
        <v>1</v>
      </c>
      <c r="R258" s="18" t="s">
        <v>45</v>
      </c>
      <c r="S258" s="18"/>
      <c r="T258" s="19"/>
      <c r="U258" s="20">
        <f t="shared" ref="U258:U289" si="131">V258+W258+X258</f>
        <v>0</v>
      </c>
      <c r="V258" s="20"/>
      <c r="W258" s="20"/>
      <c r="X258" s="20"/>
      <c r="Y258" s="21"/>
      <c r="Z258" s="29"/>
      <c r="AA258" s="29"/>
      <c r="AB258" s="29"/>
      <c r="AC258" s="29"/>
      <c r="AD258" s="23"/>
      <c r="AE258" s="23"/>
      <c r="AF258" s="23"/>
      <c r="AG258" s="23"/>
      <c r="AH258" s="23"/>
      <c r="AI258" s="23"/>
      <c r="AJ258" s="23"/>
      <c r="AK258" s="24"/>
      <c r="AL258" s="24"/>
      <c r="AM258" s="24"/>
      <c r="AN258" s="24"/>
      <c r="AO258" s="24"/>
      <c r="AP258" s="30"/>
      <c r="AQ258" s="24"/>
      <c r="AR258" s="24"/>
      <c r="AS258" s="24"/>
      <c r="AT258" s="30"/>
      <c r="AU258" s="24"/>
      <c r="AV258" s="24"/>
    </row>
    <row r="259" spans="1:48" ht="38.25" hidden="1" customHeight="1" x14ac:dyDescent="0.3">
      <c r="A259" s="26"/>
      <c r="B259" s="26"/>
      <c r="C259" s="16" t="s">
        <v>479</v>
      </c>
      <c r="D259" s="16"/>
      <c r="E259" s="17"/>
      <c r="F259" s="18"/>
      <c r="G259" s="17"/>
      <c r="H259" s="18"/>
      <c r="I259" s="18" t="s">
        <v>45</v>
      </c>
      <c r="J259" s="18" t="s">
        <v>45</v>
      </c>
      <c r="K259" s="18"/>
      <c r="L259" s="18" t="s">
        <v>45</v>
      </c>
      <c r="M259" s="28">
        <v>1</v>
      </c>
      <c r="N259" s="18" t="s">
        <v>45</v>
      </c>
      <c r="O259" s="18"/>
      <c r="P259" s="18"/>
      <c r="Q259" s="28">
        <v>1</v>
      </c>
      <c r="R259" s="18" t="s">
        <v>45</v>
      </c>
      <c r="S259" s="18"/>
      <c r="T259" s="19"/>
      <c r="U259" s="20">
        <f t="shared" si="131"/>
        <v>0</v>
      </c>
      <c r="V259" s="20"/>
      <c r="W259" s="20"/>
      <c r="X259" s="20"/>
      <c r="Y259" s="21"/>
      <c r="Z259" s="29"/>
      <c r="AA259" s="29"/>
      <c r="AB259" s="29"/>
      <c r="AC259" s="29"/>
      <c r="AD259" s="23"/>
      <c r="AE259" s="23"/>
      <c r="AF259" s="23"/>
      <c r="AG259" s="23"/>
      <c r="AH259" s="23"/>
      <c r="AI259" s="23"/>
      <c r="AJ259" s="23"/>
      <c r="AK259" s="24"/>
      <c r="AL259" s="24"/>
      <c r="AM259" s="24"/>
      <c r="AN259" s="24"/>
      <c r="AO259" s="24"/>
      <c r="AP259" s="30"/>
      <c r="AQ259" s="24"/>
      <c r="AR259" s="24"/>
      <c r="AS259" s="24"/>
      <c r="AT259" s="30"/>
      <c r="AU259" s="24"/>
      <c r="AV259" s="24"/>
    </row>
    <row r="260" spans="1:48" ht="38.25" hidden="1" customHeight="1" x14ac:dyDescent="0.3">
      <c r="A260" s="26"/>
      <c r="B260" s="26"/>
      <c r="C260" s="16" t="s">
        <v>480</v>
      </c>
      <c r="D260" s="16"/>
      <c r="E260" s="17"/>
      <c r="F260" s="18"/>
      <c r="G260" s="17"/>
      <c r="H260" s="18"/>
      <c r="I260" s="18" t="s">
        <v>45</v>
      </c>
      <c r="J260" s="18" t="s">
        <v>45</v>
      </c>
      <c r="K260" s="18"/>
      <c r="L260" s="18" t="s">
        <v>45</v>
      </c>
      <c r="M260" s="28">
        <v>1</v>
      </c>
      <c r="N260" s="18" t="s">
        <v>45</v>
      </c>
      <c r="O260" s="18"/>
      <c r="P260" s="18"/>
      <c r="Q260" s="28">
        <v>1</v>
      </c>
      <c r="R260" s="18" t="s">
        <v>45</v>
      </c>
      <c r="S260" s="18"/>
      <c r="T260" s="19"/>
      <c r="U260" s="20">
        <f t="shared" si="131"/>
        <v>0</v>
      </c>
      <c r="V260" s="20"/>
      <c r="W260" s="20"/>
      <c r="X260" s="20"/>
      <c r="Y260" s="21"/>
      <c r="Z260" s="29"/>
      <c r="AA260" s="29"/>
      <c r="AB260" s="29"/>
      <c r="AC260" s="29"/>
      <c r="AD260" s="23"/>
      <c r="AE260" s="23"/>
      <c r="AF260" s="23"/>
      <c r="AG260" s="23"/>
      <c r="AH260" s="23"/>
      <c r="AI260" s="23"/>
      <c r="AJ260" s="23"/>
      <c r="AK260" s="24"/>
      <c r="AL260" s="24"/>
      <c r="AM260" s="24"/>
      <c r="AN260" s="24"/>
      <c r="AO260" s="24"/>
      <c r="AP260" s="30"/>
      <c r="AQ260" s="24"/>
      <c r="AR260" s="24"/>
      <c r="AS260" s="24"/>
      <c r="AT260" s="30"/>
      <c r="AU260" s="24"/>
      <c r="AV260" s="24"/>
    </row>
    <row r="261" spans="1:48" ht="38.25" hidden="1" customHeight="1" x14ac:dyDescent="0.3">
      <c r="A261" s="26"/>
      <c r="B261" s="26"/>
      <c r="C261" s="16" t="s">
        <v>481</v>
      </c>
      <c r="D261" s="16"/>
      <c r="E261" s="17"/>
      <c r="F261" s="18"/>
      <c r="G261" s="17"/>
      <c r="H261" s="18"/>
      <c r="I261" s="18" t="s">
        <v>45</v>
      </c>
      <c r="J261" s="18" t="s">
        <v>45</v>
      </c>
      <c r="K261" s="18"/>
      <c r="L261" s="18" t="s">
        <v>45</v>
      </c>
      <c r="M261" s="28">
        <v>1</v>
      </c>
      <c r="N261" s="18" t="s">
        <v>45</v>
      </c>
      <c r="O261" s="18"/>
      <c r="P261" s="18"/>
      <c r="Q261" s="28">
        <v>1</v>
      </c>
      <c r="R261" s="18" t="s">
        <v>45</v>
      </c>
      <c r="S261" s="18"/>
      <c r="T261" s="19"/>
      <c r="U261" s="20">
        <f t="shared" si="131"/>
        <v>0</v>
      </c>
      <c r="V261" s="20"/>
      <c r="W261" s="20"/>
      <c r="X261" s="20"/>
      <c r="Y261" s="21"/>
      <c r="Z261" s="29"/>
      <c r="AA261" s="29"/>
      <c r="AB261" s="29"/>
      <c r="AC261" s="29"/>
      <c r="AD261" s="23"/>
      <c r="AE261" s="23"/>
      <c r="AF261" s="23"/>
      <c r="AG261" s="23"/>
      <c r="AH261" s="23"/>
      <c r="AI261" s="23"/>
      <c r="AJ261" s="23"/>
      <c r="AK261" s="24"/>
      <c r="AL261" s="24"/>
      <c r="AM261" s="24"/>
      <c r="AN261" s="24"/>
      <c r="AO261" s="24"/>
      <c r="AP261" s="30"/>
      <c r="AQ261" s="24"/>
      <c r="AR261" s="24"/>
      <c r="AS261" s="24"/>
      <c r="AT261" s="30"/>
      <c r="AU261" s="24"/>
      <c r="AV261" s="24"/>
    </row>
    <row r="262" spans="1:48" ht="38.25" hidden="1" customHeight="1" x14ac:dyDescent="0.3">
      <c r="A262" s="26"/>
      <c r="B262" s="26"/>
      <c r="C262" s="16" t="s">
        <v>482</v>
      </c>
      <c r="D262" s="16"/>
      <c r="E262" s="17"/>
      <c r="F262" s="18"/>
      <c r="G262" s="17"/>
      <c r="H262" s="18"/>
      <c r="I262" s="18" t="s">
        <v>45</v>
      </c>
      <c r="J262" s="18" t="s">
        <v>45</v>
      </c>
      <c r="K262" s="18"/>
      <c r="L262" s="18" t="s">
        <v>45</v>
      </c>
      <c r="M262" s="28">
        <v>1</v>
      </c>
      <c r="N262" s="18" t="s">
        <v>45</v>
      </c>
      <c r="O262" s="18"/>
      <c r="P262" s="18"/>
      <c r="Q262" s="28">
        <v>1</v>
      </c>
      <c r="R262" s="18" t="s">
        <v>45</v>
      </c>
      <c r="S262" s="18"/>
      <c r="T262" s="19"/>
      <c r="U262" s="20">
        <f t="shared" si="131"/>
        <v>0</v>
      </c>
      <c r="V262" s="20"/>
      <c r="W262" s="20"/>
      <c r="X262" s="20"/>
      <c r="Y262" s="21"/>
      <c r="Z262" s="29"/>
      <c r="AA262" s="29"/>
      <c r="AB262" s="29"/>
      <c r="AC262" s="29"/>
      <c r="AD262" s="23"/>
      <c r="AE262" s="23"/>
      <c r="AF262" s="23"/>
      <c r="AG262" s="23"/>
      <c r="AH262" s="23"/>
      <c r="AI262" s="23"/>
      <c r="AJ262" s="23"/>
      <c r="AK262" s="24"/>
      <c r="AL262" s="24"/>
      <c r="AM262" s="24"/>
      <c r="AN262" s="24"/>
      <c r="AO262" s="24"/>
      <c r="AP262" s="30"/>
      <c r="AQ262" s="24"/>
      <c r="AR262" s="24"/>
      <c r="AS262" s="24"/>
      <c r="AT262" s="30"/>
      <c r="AU262" s="24"/>
      <c r="AV262" s="24"/>
    </row>
    <row r="263" spans="1:48" ht="56.25" hidden="1" customHeight="1" x14ac:dyDescent="0.3">
      <c r="A263" s="26"/>
      <c r="B263" s="26"/>
      <c r="C263" s="16" t="s">
        <v>483</v>
      </c>
      <c r="D263" s="16"/>
      <c r="E263" s="17"/>
      <c r="F263" s="18"/>
      <c r="G263" s="17"/>
      <c r="H263" s="18"/>
      <c r="I263" s="18" t="s">
        <v>45</v>
      </c>
      <c r="J263" s="18" t="s">
        <v>45</v>
      </c>
      <c r="K263" s="18"/>
      <c r="L263" s="18" t="s">
        <v>45</v>
      </c>
      <c r="M263" s="28">
        <v>1</v>
      </c>
      <c r="N263" s="18" t="s">
        <v>45</v>
      </c>
      <c r="O263" s="18"/>
      <c r="P263" s="18"/>
      <c r="Q263" s="28">
        <v>1</v>
      </c>
      <c r="R263" s="18" t="s">
        <v>45</v>
      </c>
      <c r="S263" s="18"/>
      <c r="T263" s="19"/>
      <c r="U263" s="20">
        <f t="shared" si="131"/>
        <v>0</v>
      </c>
      <c r="V263" s="20"/>
      <c r="W263" s="20"/>
      <c r="X263" s="20"/>
      <c r="Y263" s="21"/>
      <c r="Z263" s="29"/>
      <c r="AA263" s="29"/>
      <c r="AB263" s="29"/>
      <c r="AC263" s="29"/>
      <c r="AD263" s="23"/>
      <c r="AE263" s="23"/>
      <c r="AF263" s="23"/>
      <c r="AG263" s="23"/>
      <c r="AH263" s="23"/>
      <c r="AI263" s="23"/>
      <c r="AJ263" s="23"/>
      <c r="AK263" s="24"/>
      <c r="AL263" s="24"/>
      <c r="AM263" s="24"/>
      <c r="AN263" s="24"/>
      <c r="AO263" s="24"/>
      <c r="AP263" s="30"/>
      <c r="AQ263" s="24"/>
      <c r="AR263" s="24"/>
      <c r="AS263" s="24"/>
      <c r="AT263" s="30"/>
      <c r="AU263" s="24"/>
      <c r="AV263" s="24"/>
    </row>
    <row r="264" spans="1:48" ht="54.75" hidden="1" customHeight="1" x14ac:dyDescent="0.3">
      <c r="A264" s="26"/>
      <c r="B264" s="26"/>
      <c r="C264" s="16" t="s">
        <v>484</v>
      </c>
      <c r="D264" s="16"/>
      <c r="E264" s="17"/>
      <c r="F264" s="18"/>
      <c r="G264" s="17"/>
      <c r="H264" s="18"/>
      <c r="I264" s="18" t="s">
        <v>45</v>
      </c>
      <c r="J264" s="18" t="s">
        <v>45</v>
      </c>
      <c r="K264" s="18"/>
      <c r="L264" s="18" t="s">
        <v>45</v>
      </c>
      <c r="M264" s="28">
        <v>1</v>
      </c>
      <c r="N264" s="18" t="s">
        <v>45</v>
      </c>
      <c r="O264" s="18"/>
      <c r="P264" s="18"/>
      <c r="Q264" s="28">
        <v>1</v>
      </c>
      <c r="R264" s="18" t="s">
        <v>45</v>
      </c>
      <c r="S264" s="18"/>
      <c r="T264" s="19"/>
      <c r="U264" s="20">
        <f t="shared" si="131"/>
        <v>0</v>
      </c>
      <c r="V264" s="20"/>
      <c r="W264" s="20"/>
      <c r="X264" s="20"/>
      <c r="Y264" s="21"/>
      <c r="Z264" s="29"/>
      <c r="AA264" s="29"/>
      <c r="AB264" s="29"/>
      <c r="AC264" s="29"/>
      <c r="AD264" s="23"/>
      <c r="AE264" s="23"/>
      <c r="AF264" s="23"/>
      <c r="AG264" s="23"/>
      <c r="AH264" s="23"/>
      <c r="AI264" s="23"/>
      <c r="AJ264" s="23"/>
      <c r="AK264" s="24"/>
      <c r="AL264" s="24"/>
      <c r="AM264" s="24"/>
      <c r="AN264" s="24"/>
      <c r="AO264" s="24"/>
      <c r="AP264" s="30"/>
      <c r="AQ264" s="24"/>
      <c r="AR264" s="24"/>
      <c r="AS264" s="24"/>
      <c r="AT264" s="30"/>
      <c r="AU264" s="24"/>
      <c r="AV264" s="24"/>
    </row>
    <row r="265" spans="1:48" ht="36.75" hidden="1" customHeight="1" x14ac:dyDescent="0.3">
      <c r="A265" s="26"/>
      <c r="B265" s="26"/>
      <c r="C265" s="16" t="s">
        <v>485</v>
      </c>
      <c r="D265" s="16"/>
      <c r="E265" s="17"/>
      <c r="F265" s="18"/>
      <c r="G265" s="17"/>
      <c r="H265" s="18"/>
      <c r="I265" s="18" t="s">
        <v>45</v>
      </c>
      <c r="J265" s="18" t="s">
        <v>45</v>
      </c>
      <c r="K265" s="18"/>
      <c r="L265" s="18" t="s">
        <v>45</v>
      </c>
      <c r="M265" s="28">
        <v>1</v>
      </c>
      <c r="N265" s="18" t="s">
        <v>45</v>
      </c>
      <c r="O265" s="18"/>
      <c r="P265" s="18"/>
      <c r="Q265" s="28">
        <v>1</v>
      </c>
      <c r="R265" s="18" t="s">
        <v>45</v>
      </c>
      <c r="S265" s="18"/>
      <c r="T265" s="19"/>
      <c r="U265" s="20">
        <f t="shared" si="131"/>
        <v>0</v>
      </c>
      <c r="V265" s="20"/>
      <c r="W265" s="20"/>
      <c r="X265" s="20"/>
      <c r="Y265" s="21"/>
      <c r="Z265" s="29"/>
      <c r="AA265" s="29"/>
      <c r="AB265" s="29"/>
      <c r="AC265" s="29"/>
      <c r="AD265" s="23"/>
      <c r="AE265" s="23"/>
      <c r="AF265" s="23"/>
      <c r="AG265" s="23"/>
      <c r="AH265" s="23"/>
      <c r="AI265" s="23"/>
      <c r="AJ265" s="23"/>
      <c r="AK265" s="24"/>
      <c r="AL265" s="24"/>
      <c r="AM265" s="24"/>
      <c r="AN265" s="24"/>
      <c r="AO265" s="24"/>
      <c r="AP265" s="30"/>
      <c r="AQ265" s="24"/>
      <c r="AR265" s="24"/>
      <c r="AS265" s="24"/>
      <c r="AT265" s="30"/>
      <c r="AU265" s="24"/>
      <c r="AV265" s="24"/>
    </row>
    <row r="266" spans="1:48" ht="33" hidden="1" customHeight="1" x14ac:dyDescent="0.3">
      <c r="A266" s="26"/>
      <c r="B266" s="26"/>
      <c r="C266" s="16" t="s">
        <v>486</v>
      </c>
      <c r="D266" s="16"/>
      <c r="E266" s="17"/>
      <c r="F266" s="18"/>
      <c r="G266" s="17"/>
      <c r="H266" s="18"/>
      <c r="I266" s="18" t="s">
        <v>45</v>
      </c>
      <c r="J266" s="18" t="s">
        <v>45</v>
      </c>
      <c r="K266" s="18"/>
      <c r="L266" s="18" t="s">
        <v>45</v>
      </c>
      <c r="M266" s="28">
        <v>1</v>
      </c>
      <c r="N266" s="18" t="s">
        <v>45</v>
      </c>
      <c r="O266" s="18"/>
      <c r="P266" s="18"/>
      <c r="Q266" s="28">
        <v>1</v>
      </c>
      <c r="R266" s="18" t="s">
        <v>45</v>
      </c>
      <c r="S266" s="18"/>
      <c r="T266" s="19"/>
      <c r="U266" s="20">
        <f t="shared" si="131"/>
        <v>0</v>
      </c>
      <c r="V266" s="20"/>
      <c r="W266" s="20"/>
      <c r="X266" s="20"/>
      <c r="Y266" s="21"/>
      <c r="Z266" s="29"/>
      <c r="AA266" s="29"/>
      <c r="AB266" s="29"/>
      <c r="AC266" s="29"/>
      <c r="AD266" s="23"/>
      <c r="AE266" s="23"/>
      <c r="AF266" s="23"/>
      <c r="AG266" s="23"/>
      <c r="AH266" s="23"/>
      <c r="AI266" s="23"/>
      <c r="AJ266" s="23"/>
      <c r="AK266" s="24"/>
      <c r="AL266" s="24"/>
      <c r="AM266" s="24"/>
      <c r="AN266" s="24"/>
      <c r="AO266" s="24"/>
      <c r="AP266" s="30"/>
      <c r="AQ266" s="24"/>
      <c r="AR266" s="24"/>
      <c r="AS266" s="24"/>
      <c r="AT266" s="30"/>
      <c r="AU266" s="24"/>
      <c r="AV266" s="24"/>
    </row>
    <row r="267" spans="1:48" ht="34.5" hidden="1" customHeight="1" x14ac:dyDescent="0.3">
      <c r="A267" s="26"/>
      <c r="B267" s="26"/>
      <c r="C267" s="16" t="s">
        <v>487</v>
      </c>
      <c r="D267" s="16"/>
      <c r="E267" s="17"/>
      <c r="F267" s="18"/>
      <c r="G267" s="17"/>
      <c r="H267" s="18"/>
      <c r="I267" s="18" t="s">
        <v>45</v>
      </c>
      <c r="J267" s="18" t="s">
        <v>45</v>
      </c>
      <c r="K267" s="18"/>
      <c r="L267" s="18" t="s">
        <v>45</v>
      </c>
      <c r="M267" s="28">
        <v>1</v>
      </c>
      <c r="N267" s="18" t="s">
        <v>45</v>
      </c>
      <c r="O267" s="18"/>
      <c r="P267" s="18"/>
      <c r="Q267" s="28">
        <v>1</v>
      </c>
      <c r="R267" s="18" t="s">
        <v>45</v>
      </c>
      <c r="S267" s="18"/>
      <c r="T267" s="19"/>
      <c r="U267" s="20">
        <f t="shared" si="131"/>
        <v>0</v>
      </c>
      <c r="V267" s="20"/>
      <c r="W267" s="20"/>
      <c r="X267" s="20"/>
      <c r="Y267" s="21"/>
      <c r="Z267" s="29"/>
      <c r="AA267" s="29"/>
      <c r="AB267" s="29"/>
      <c r="AC267" s="29"/>
      <c r="AD267" s="23"/>
      <c r="AE267" s="23"/>
      <c r="AF267" s="23"/>
      <c r="AG267" s="23"/>
      <c r="AH267" s="23"/>
      <c r="AI267" s="23"/>
      <c r="AJ267" s="23"/>
      <c r="AK267" s="24"/>
      <c r="AL267" s="24"/>
      <c r="AM267" s="24"/>
      <c r="AN267" s="24"/>
      <c r="AO267" s="24"/>
      <c r="AP267" s="30"/>
      <c r="AQ267" s="24"/>
      <c r="AR267" s="24"/>
      <c r="AS267" s="24"/>
      <c r="AT267" s="30"/>
      <c r="AU267" s="24"/>
      <c r="AV267" s="24"/>
    </row>
    <row r="268" spans="1:48" ht="32.25" hidden="1" customHeight="1" x14ac:dyDescent="0.3">
      <c r="A268" s="26"/>
      <c r="B268" s="26"/>
      <c r="C268" s="16" t="s">
        <v>488</v>
      </c>
      <c r="D268" s="16"/>
      <c r="E268" s="17"/>
      <c r="F268" s="18"/>
      <c r="G268" s="17"/>
      <c r="H268" s="18"/>
      <c r="I268" s="18" t="s">
        <v>45</v>
      </c>
      <c r="J268" s="18" t="s">
        <v>45</v>
      </c>
      <c r="K268" s="18"/>
      <c r="L268" s="18" t="s">
        <v>45</v>
      </c>
      <c r="M268" s="28">
        <v>1</v>
      </c>
      <c r="N268" s="18" t="s">
        <v>45</v>
      </c>
      <c r="O268" s="18"/>
      <c r="P268" s="18"/>
      <c r="Q268" s="28">
        <v>1</v>
      </c>
      <c r="R268" s="18" t="s">
        <v>45</v>
      </c>
      <c r="S268" s="18"/>
      <c r="T268" s="19"/>
      <c r="U268" s="20">
        <f t="shared" si="131"/>
        <v>0</v>
      </c>
      <c r="V268" s="20"/>
      <c r="W268" s="20"/>
      <c r="X268" s="20"/>
      <c r="Y268" s="21"/>
      <c r="Z268" s="29"/>
      <c r="AA268" s="29"/>
      <c r="AB268" s="29"/>
      <c r="AC268" s="29"/>
      <c r="AD268" s="23"/>
      <c r="AE268" s="23"/>
      <c r="AF268" s="23"/>
      <c r="AG268" s="23"/>
      <c r="AH268" s="23"/>
      <c r="AI268" s="23"/>
      <c r="AJ268" s="23"/>
      <c r="AK268" s="24"/>
      <c r="AL268" s="24"/>
      <c r="AM268" s="24"/>
      <c r="AN268" s="24"/>
      <c r="AO268" s="24"/>
      <c r="AP268" s="30"/>
      <c r="AQ268" s="24"/>
      <c r="AR268" s="24"/>
      <c r="AS268" s="24"/>
      <c r="AT268" s="30"/>
      <c r="AU268" s="24"/>
      <c r="AV268" s="24"/>
    </row>
    <row r="269" spans="1:48" ht="37.5" hidden="1" customHeight="1" x14ac:dyDescent="0.3">
      <c r="A269" s="26"/>
      <c r="B269" s="26"/>
      <c r="C269" s="16" t="s">
        <v>489</v>
      </c>
      <c r="D269" s="16"/>
      <c r="E269" s="17"/>
      <c r="F269" s="18"/>
      <c r="G269" s="17"/>
      <c r="H269" s="18"/>
      <c r="I269" s="18" t="s">
        <v>45</v>
      </c>
      <c r="J269" s="18" t="s">
        <v>45</v>
      </c>
      <c r="K269" s="18"/>
      <c r="L269" s="18" t="s">
        <v>45</v>
      </c>
      <c r="M269" s="28">
        <v>1</v>
      </c>
      <c r="N269" s="18" t="s">
        <v>45</v>
      </c>
      <c r="O269" s="18"/>
      <c r="P269" s="18"/>
      <c r="Q269" s="28">
        <v>1</v>
      </c>
      <c r="R269" s="18" t="s">
        <v>45</v>
      </c>
      <c r="S269" s="18"/>
      <c r="T269" s="19"/>
      <c r="U269" s="20">
        <f t="shared" si="131"/>
        <v>0</v>
      </c>
      <c r="V269" s="20"/>
      <c r="W269" s="20"/>
      <c r="X269" s="20"/>
      <c r="Y269" s="21"/>
      <c r="Z269" s="29"/>
      <c r="AA269" s="29"/>
      <c r="AB269" s="29"/>
      <c r="AC269" s="29"/>
      <c r="AD269" s="23"/>
      <c r="AE269" s="23"/>
      <c r="AF269" s="23"/>
      <c r="AG269" s="23"/>
      <c r="AH269" s="23"/>
      <c r="AI269" s="23"/>
      <c r="AJ269" s="23"/>
      <c r="AK269" s="24"/>
      <c r="AL269" s="24"/>
      <c r="AM269" s="24"/>
      <c r="AN269" s="24"/>
      <c r="AO269" s="24"/>
      <c r="AP269" s="30"/>
      <c r="AQ269" s="24"/>
      <c r="AR269" s="24"/>
      <c r="AS269" s="24"/>
      <c r="AT269" s="30"/>
      <c r="AU269" s="24"/>
      <c r="AV269" s="24"/>
    </row>
    <row r="270" spans="1:48" ht="36" hidden="1" customHeight="1" x14ac:dyDescent="0.3">
      <c r="A270" s="26"/>
      <c r="B270" s="26"/>
      <c r="C270" s="16" t="s">
        <v>490</v>
      </c>
      <c r="D270" s="16"/>
      <c r="E270" s="17"/>
      <c r="F270" s="18"/>
      <c r="G270" s="17"/>
      <c r="H270" s="18"/>
      <c r="I270" s="18" t="s">
        <v>45</v>
      </c>
      <c r="J270" s="18" t="s">
        <v>45</v>
      </c>
      <c r="K270" s="18"/>
      <c r="L270" s="18" t="s">
        <v>45</v>
      </c>
      <c r="M270" s="28">
        <v>1</v>
      </c>
      <c r="N270" s="18" t="s">
        <v>45</v>
      </c>
      <c r="O270" s="18"/>
      <c r="P270" s="18"/>
      <c r="Q270" s="28">
        <v>1</v>
      </c>
      <c r="R270" s="18" t="s">
        <v>45</v>
      </c>
      <c r="S270" s="18"/>
      <c r="T270" s="19"/>
      <c r="U270" s="20">
        <f t="shared" si="131"/>
        <v>0</v>
      </c>
      <c r="V270" s="20"/>
      <c r="W270" s="20"/>
      <c r="X270" s="20"/>
      <c r="Y270" s="21"/>
      <c r="Z270" s="29"/>
      <c r="AA270" s="29"/>
      <c r="AB270" s="29"/>
      <c r="AC270" s="29"/>
      <c r="AD270" s="23"/>
      <c r="AE270" s="23"/>
      <c r="AF270" s="23"/>
      <c r="AG270" s="23"/>
      <c r="AH270" s="23"/>
      <c r="AI270" s="23"/>
      <c r="AJ270" s="23"/>
      <c r="AK270" s="24"/>
      <c r="AL270" s="24"/>
      <c r="AM270" s="24"/>
      <c r="AN270" s="24"/>
      <c r="AO270" s="24"/>
      <c r="AP270" s="30"/>
      <c r="AQ270" s="24"/>
      <c r="AR270" s="24"/>
      <c r="AS270" s="24"/>
      <c r="AT270" s="30"/>
      <c r="AU270" s="24"/>
      <c r="AV270" s="24"/>
    </row>
    <row r="271" spans="1:48" ht="36" hidden="1" customHeight="1" x14ac:dyDescent="0.3">
      <c r="A271" s="26"/>
      <c r="B271" s="26"/>
      <c r="C271" s="16" t="s">
        <v>491</v>
      </c>
      <c r="D271" s="16"/>
      <c r="E271" s="17"/>
      <c r="F271" s="18"/>
      <c r="G271" s="17"/>
      <c r="H271" s="18"/>
      <c r="I271" s="18" t="s">
        <v>45</v>
      </c>
      <c r="J271" s="18" t="s">
        <v>45</v>
      </c>
      <c r="K271" s="18"/>
      <c r="L271" s="18" t="s">
        <v>45</v>
      </c>
      <c r="M271" s="28">
        <v>1</v>
      </c>
      <c r="N271" s="18" t="s">
        <v>45</v>
      </c>
      <c r="O271" s="18"/>
      <c r="P271" s="18"/>
      <c r="Q271" s="28">
        <v>1</v>
      </c>
      <c r="R271" s="18" t="s">
        <v>45</v>
      </c>
      <c r="S271" s="18"/>
      <c r="T271" s="19"/>
      <c r="U271" s="20">
        <f t="shared" si="131"/>
        <v>0</v>
      </c>
      <c r="V271" s="20"/>
      <c r="W271" s="20"/>
      <c r="X271" s="20"/>
      <c r="Y271" s="21"/>
      <c r="Z271" s="29"/>
      <c r="AA271" s="29"/>
      <c r="AB271" s="29"/>
      <c r="AC271" s="29"/>
      <c r="AD271" s="23"/>
      <c r="AE271" s="23"/>
      <c r="AF271" s="23"/>
      <c r="AG271" s="23"/>
      <c r="AH271" s="23"/>
      <c r="AI271" s="23"/>
      <c r="AJ271" s="23"/>
      <c r="AK271" s="24"/>
      <c r="AL271" s="24"/>
      <c r="AM271" s="24"/>
      <c r="AN271" s="24"/>
      <c r="AO271" s="24"/>
      <c r="AP271" s="30"/>
      <c r="AQ271" s="24"/>
      <c r="AR271" s="24"/>
      <c r="AS271" s="24"/>
      <c r="AT271" s="30"/>
      <c r="AU271" s="24"/>
      <c r="AV271" s="24"/>
    </row>
    <row r="272" spans="1:48" ht="40.5" hidden="1" customHeight="1" x14ac:dyDescent="0.3">
      <c r="A272" s="26"/>
      <c r="B272" s="26"/>
      <c r="C272" s="16" t="s">
        <v>492</v>
      </c>
      <c r="D272" s="16"/>
      <c r="E272" s="17"/>
      <c r="F272" s="18"/>
      <c r="G272" s="17"/>
      <c r="H272" s="18"/>
      <c r="I272" s="18" t="s">
        <v>45</v>
      </c>
      <c r="J272" s="18" t="s">
        <v>45</v>
      </c>
      <c r="K272" s="18"/>
      <c r="L272" s="18" t="s">
        <v>45</v>
      </c>
      <c r="M272" s="28">
        <v>1</v>
      </c>
      <c r="N272" s="18" t="s">
        <v>45</v>
      </c>
      <c r="O272" s="18"/>
      <c r="P272" s="18"/>
      <c r="Q272" s="28">
        <v>1</v>
      </c>
      <c r="R272" s="18" t="s">
        <v>45</v>
      </c>
      <c r="S272" s="18"/>
      <c r="T272" s="19"/>
      <c r="U272" s="20">
        <f t="shared" si="131"/>
        <v>0</v>
      </c>
      <c r="V272" s="20"/>
      <c r="W272" s="20"/>
      <c r="X272" s="20"/>
      <c r="Y272" s="21"/>
      <c r="Z272" s="29"/>
      <c r="AA272" s="29"/>
      <c r="AB272" s="29"/>
      <c r="AC272" s="29"/>
      <c r="AD272" s="23"/>
      <c r="AE272" s="23"/>
      <c r="AF272" s="23"/>
      <c r="AG272" s="23"/>
      <c r="AH272" s="23"/>
      <c r="AI272" s="23"/>
      <c r="AJ272" s="23"/>
      <c r="AK272" s="24"/>
      <c r="AL272" s="24"/>
      <c r="AM272" s="24"/>
      <c r="AN272" s="24"/>
      <c r="AO272" s="24"/>
      <c r="AP272" s="30"/>
      <c r="AQ272" s="24"/>
      <c r="AR272" s="24"/>
      <c r="AS272" s="24"/>
      <c r="AT272" s="30"/>
      <c r="AU272" s="24"/>
      <c r="AV272" s="24"/>
    </row>
    <row r="273" spans="1:48" ht="33.75" hidden="1" customHeight="1" x14ac:dyDescent="0.3">
      <c r="A273" s="26"/>
      <c r="B273" s="26"/>
      <c r="C273" s="16" t="s">
        <v>493</v>
      </c>
      <c r="D273" s="16"/>
      <c r="E273" s="17"/>
      <c r="F273" s="18"/>
      <c r="G273" s="17"/>
      <c r="H273" s="18"/>
      <c r="I273" s="18" t="s">
        <v>45</v>
      </c>
      <c r="J273" s="18" t="s">
        <v>45</v>
      </c>
      <c r="K273" s="18"/>
      <c r="L273" s="18" t="s">
        <v>45</v>
      </c>
      <c r="M273" s="28">
        <v>1</v>
      </c>
      <c r="N273" s="18" t="s">
        <v>45</v>
      </c>
      <c r="O273" s="18"/>
      <c r="P273" s="18"/>
      <c r="Q273" s="28">
        <v>1</v>
      </c>
      <c r="R273" s="18" t="s">
        <v>45</v>
      </c>
      <c r="S273" s="18"/>
      <c r="T273" s="19"/>
      <c r="U273" s="20">
        <f t="shared" si="131"/>
        <v>0</v>
      </c>
      <c r="V273" s="20"/>
      <c r="W273" s="20"/>
      <c r="X273" s="20"/>
      <c r="Y273" s="21"/>
      <c r="Z273" s="29"/>
      <c r="AA273" s="29"/>
      <c r="AB273" s="29"/>
      <c r="AC273" s="29"/>
      <c r="AD273" s="23"/>
      <c r="AE273" s="23"/>
      <c r="AF273" s="23"/>
      <c r="AG273" s="23"/>
      <c r="AH273" s="23"/>
      <c r="AI273" s="23"/>
      <c r="AJ273" s="23"/>
      <c r="AK273" s="24"/>
      <c r="AL273" s="24"/>
      <c r="AM273" s="24"/>
      <c r="AN273" s="24"/>
      <c r="AO273" s="24"/>
      <c r="AP273" s="30"/>
      <c r="AQ273" s="24"/>
      <c r="AR273" s="24"/>
      <c r="AS273" s="24"/>
      <c r="AT273" s="30"/>
      <c r="AU273" s="24"/>
      <c r="AV273" s="24"/>
    </row>
    <row r="274" spans="1:48" ht="33" hidden="1" customHeight="1" x14ac:dyDescent="0.3">
      <c r="A274" s="26"/>
      <c r="B274" s="26"/>
      <c r="C274" s="16" t="s">
        <v>494</v>
      </c>
      <c r="D274" s="16"/>
      <c r="E274" s="17"/>
      <c r="F274" s="18"/>
      <c r="G274" s="17"/>
      <c r="H274" s="18"/>
      <c r="I274" s="18" t="s">
        <v>45</v>
      </c>
      <c r="J274" s="18" t="s">
        <v>45</v>
      </c>
      <c r="K274" s="18"/>
      <c r="L274" s="18" t="s">
        <v>45</v>
      </c>
      <c r="M274" s="28">
        <v>1</v>
      </c>
      <c r="N274" s="18" t="s">
        <v>45</v>
      </c>
      <c r="O274" s="18"/>
      <c r="P274" s="18"/>
      <c r="Q274" s="28">
        <v>1</v>
      </c>
      <c r="R274" s="18" t="s">
        <v>45</v>
      </c>
      <c r="S274" s="18"/>
      <c r="T274" s="19"/>
      <c r="U274" s="20">
        <f t="shared" si="131"/>
        <v>0</v>
      </c>
      <c r="V274" s="20"/>
      <c r="W274" s="20"/>
      <c r="X274" s="20"/>
      <c r="Y274" s="21"/>
      <c r="Z274" s="29"/>
      <c r="AA274" s="29"/>
      <c r="AB274" s="29"/>
      <c r="AC274" s="29"/>
      <c r="AD274" s="23"/>
      <c r="AE274" s="23"/>
      <c r="AF274" s="23"/>
      <c r="AG274" s="23"/>
      <c r="AH274" s="23"/>
      <c r="AI274" s="23"/>
      <c r="AJ274" s="23"/>
      <c r="AK274" s="24"/>
      <c r="AL274" s="24"/>
      <c r="AM274" s="24"/>
      <c r="AN274" s="24"/>
      <c r="AO274" s="24"/>
      <c r="AP274" s="30"/>
      <c r="AQ274" s="24"/>
      <c r="AR274" s="24"/>
      <c r="AS274" s="24"/>
      <c r="AT274" s="30"/>
      <c r="AU274" s="24"/>
      <c r="AV274" s="24"/>
    </row>
    <row r="275" spans="1:48" ht="34.5" hidden="1" customHeight="1" x14ac:dyDescent="0.3">
      <c r="A275" s="26"/>
      <c r="B275" s="26"/>
      <c r="C275" s="16" t="s">
        <v>495</v>
      </c>
      <c r="D275" s="16"/>
      <c r="E275" s="17"/>
      <c r="F275" s="18"/>
      <c r="G275" s="17"/>
      <c r="H275" s="18"/>
      <c r="I275" s="18" t="s">
        <v>45</v>
      </c>
      <c r="J275" s="18" t="s">
        <v>45</v>
      </c>
      <c r="K275" s="18"/>
      <c r="L275" s="18" t="s">
        <v>45</v>
      </c>
      <c r="M275" s="28">
        <v>1</v>
      </c>
      <c r="N275" s="18" t="s">
        <v>45</v>
      </c>
      <c r="O275" s="18"/>
      <c r="P275" s="18"/>
      <c r="Q275" s="28">
        <v>1</v>
      </c>
      <c r="R275" s="18" t="s">
        <v>45</v>
      </c>
      <c r="S275" s="18"/>
      <c r="T275" s="19"/>
      <c r="U275" s="20">
        <f t="shared" si="131"/>
        <v>0</v>
      </c>
      <c r="V275" s="20"/>
      <c r="W275" s="20"/>
      <c r="X275" s="20"/>
      <c r="Y275" s="21"/>
      <c r="Z275" s="29"/>
      <c r="AA275" s="29"/>
      <c r="AB275" s="29"/>
      <c r="AC275" s="29"/>
      <c r="AD275" s="23"/>
      <c r="AE275" s="23"/>
      <c r="AF275" s="23"/>
      <c r="AG275" s="23"/>
      <c r="AH275" s="23"/>
      <c r="AI275" s="23"/>
      <c r="AJ275" s="23"/>
      <c r="AK275" s="24"/>
      <c r="AL275" s="24"/>
      <c r="AM275" s="24"/>
      <c r="AN275" s="24"/>
      <c r="AO275" s="24"/>
      <c r="AP275" s="30"/>
      <c r="AQ275" s="24"/>
      <c r="AR275" s="24"/>
      <c r="AS275" s="24"/>
      <c r="AT275" s="30"/>
      <c r="AU275" s="24"/>
      <c r="AV275" s="24"/>
    </row>
    <row r="276" spans="1:48" ht="35.25" hidden="1" customHeight="1" x14ac:dyDescent="0.3">
      <c r="A276" s="26"/>
      <c r="B276" s="26"/>
      <c r="C276" s="16" t="s">
        <v>496</v>
      </c>
      <c r="D276" s="16"/>
      <c r="E276" s="17"/>
      <c r="F276" s="18"/>
      <c r="G276" s="17"/>
      <c r="H276" s="18"/>
      <c r="I276" s="18" t="s">
        <v>45</v>
      </c>
      <c r="J276" s="18" t="s">
        <v>45</v>
      </c>
      <c r="K276" s="18"/>
      <c r="L276" s="18" t="s">
        <v>45</v>
      </c>
      <c r="M276" s="28">
        <v>1</v>
      </c>
      <c r="N276" s="18" t="s">
        <v>45</v>
      </c>
      <c r="O276" s="18"/>
      <c r="P276" s="18"/>
      <c r="Q276" s="28">
        <v>1</v>
      </c>
      <c r="R276" s="18" t="s">
        <v>45</v>
      </c>
      <c r="S276" s="18"/>
      <c r="T276" s="19"/>
      <c r="U276" s="20">
        <f t="shared" si="131"/>
        <v>0</v>
      </c>
      <c r="V276" s="20"/>
      <c r="W276" s="20"/>
      <c r="X276" s="20"/>
      <c r="Y276" s="21"/>
      <c r="Z276" s="29"/>
      <c r="AA276" s="29"/>
      <c r="AB276" s="29"/>
      <c r="AC276" s="29"/>
      <c r="AD276" s="23"/>
      <c r="AE276" s="23"/>
      <c r="AF276" s="23"/>
      <c r="AG276" s="23"/>
      <c r="AH276" s="23"/>
      <c r="AI276" s="23"/>
      <c r="AJ276" s="23"/>
      <c r="AK276" s="24"/>
      <c r="AL276" s="24"/>
      <c r="AM276" s="24"/>
      <c r="AN276" s="24"/>
      <c r="AO276" s="24"/>
      <c r="AP276" s="30"/>
      <c r="AQ276" s="24"/>
      <c r="AR276" s="24"/>
      <c r="AS276" s="24"/>
      <c r="AT276" s="30"/>
      <c r="AU276" s="24"/>
      <c r="AV276" s="24"/>
    </row>
    <row r="277" spans="1:48" ht="40.5" hidden="1" customHeight="1" x14ac:dyDescent="0.3">
      <c r="A277" s="26"/>
      <c r="B277" s="26"/>
      <c r="C277" s="16" t="s">
        <v>497</v>
      </c>
      <c r="D277" s="16"/>
      <c r="E277" s="17"/>
      <c r="F277" s="18"/>
      <c r="G277" s="17"/>
      <c r="H277" s="18"/>
      <c r="I277" s="18" t="s">
        <v>45</v>
      </c>
      <c r="J277" s="18" t="s">
        <v>45</v>
      </c>
      <c r="K277" s="18"/>
      <c r="L277" s="18" t="s">
        <v>45</v>
      </c>
      <c r="M277" s="28">
        <v>1</v>
      </c>
      <c r="N277" s="18" t="s">
        <v>45</v>
      </c>
      <c r="O277" s="18"/>
      <c r="P277" s="18"/>
      <c r="Q277" s="28">
        <v>1</v>
      </c>
      <c r="R277" s="18" t="s">
        <v>45</v>
      </c>
      <c r="S277" s="18"/>
      <c r="T277" s="19"/>
      <c r="U277" s="20">
        <f t="shared" si="131"/>
        <v>0</v>
      </c>
      <c r="V277" s="20"/>
      <c r="W277" s="20"/>
      <c r="X277" s="20"/>
      <c r="Y277" s="21"/>
      <c r="Z277" s="29"/>
      <c r="AA277" s="29"/>
      <c r="AB277" s="29"/>
      <c r="AC277" s="29"/>
      <c r="AD277" s="23"/>
      <c r="AE277" s="23"/>
      <c r="AF277" s="23"/>
      <c r="AG277" s="23"/>
      <c r="AH277" s="23"/>
      <c r="AI277" s="23"/>
      <c r="AJ277" s="23"/>
      <c r="AK277" s="24"/>
      <c r="AL277" s="24"/>
      <c r="AM277" s="24"/>
      <c r="AN277" s="24"/>
      <c r="AO277" s="24"/>
      <c r="AP277" s="30"/>
      <c r="AQ277" s="24"/>
      <c r="AR277" s="24"/>
      <c r="AS277" s="24"/>
      <c r="AT277" s="30"/>
      <c r="AU277" s="24"/>
      <c r="AV277" s="24"/>
    </row>
    <row r="278" spans="1:48" ht="33.75" hidden="1" customHeight="1" x14ac:dyDescent="0.3">
      <c r="A278" s="26"/>
      <c r="B278" s="26"/>
      <c r="C278" s="16" t="s">
        <v>498</v>
      </c>
      <c r="D278" s="16"/>
      <c r="E278" s="17"/>
      <c r="F278" s="18"/>
      <c r="G278" s="17"/>
      <c r="H278" s="18"/>
      <c r="I278" s="18" t="s">
        <v>45</v>
      </c>
      <c r="J278" s="18" t="s">
        <v>45</v>
      </c>
      <c r="K278" s="18"/>
      <c r="L278" s="18" t="s">
        <v>45</v>
      </c>
      <c r="M278" s="28">
        <v>1</v>
      </c>
      <c r="N278" s="18" t="s">
        <v>45</v>
      </c>
      <c r="O278" s="18"/>
      <c r="P278" s="18"/>
      <c r="Q278" s="28">
        <v>1</v>
      </c>
      <c r="R278" s="18" t="s">
        <v>45</v>
      </c>
      <c r="S278" s="18"/>
      <c r="T278" s="19"/>
      <c r="U278" s="20">
        <f t="shared" si="131"/>
        <v>0</v>
      </c>
      <c r="V278" s="20"/>
      <c r="W278" s="20"/>
      <c r="X278" s="20"/>
      <c r="Y278" s="21"/>
      <c r="Z278" s="29"/>
      <c r="AA278" s="29"/>
      <c r="AB278" s="29"/>
      <c r="AC278" s="29"/>
      <c r="AD278" s="23"/>
      <c r="AE278" s="23"/>
      <c r="AF278" s="23"/>
      <c r="AG278" s="23"/>
      <c r="AH278" s="23"/>
      <c r="AI278" s="23"/>
      <c r="AJ278" s="23"/>
      <c r="AK278" s="24"/>
      <c r="AL278" s="24"/>
      <c r="AM278" s="24"/>
      <c r="AN278" s="24"/>
      <c r="AO278" s="24"/>
      <c r="AP278" s="30"/>
      <c r="AQ278" s="24"/>
      <c r="AR278" s="24"/>
      <c r="AS278" s="24"/>
      <c r="AT278" s="30"/>
      <c r="AU278" s="24"/>
      <c r="AV278" s="24"/>
    </row>
    <row r="279" spans="1:48" ht="32.25" hidden="1" customHeight="1" x14ac:dyDescent="0.3">
      <c r="A279" s="26"/>
      <c r="B279" s="26"/>
      <c r="C279" s="16" t="s">
        <v>499</v>
      </c>
      <c r="D279" s="16"/>
      <c r="E279" s="17"/>
      <c r="F279" s="18"/>
      <c r="G279" s="17"/>
      <c r="H279" s="18"/>
      <c r="I279" s="18" t="s">
        <v>45</v>
      </c>
      <c r="J279" s="18" t="s">
        <v>45</v>
      </c>
      <c r="K279" s="18"/>
      <c r="L279" s="18" t="s">
        <v>45</v>
      </c>
      <c r="M279" s="28">
        <v>1</v>
      </c>
      <c r="N279" s="18" t="s">
        <v>45</v>
      </c>
      <c r="O279" s="18"/>
      <c r="P279" s="18"/>
      <c r="Q279" s="28">
        <v>1</v>
      </c>
      <c r="R279" s="18" t="s">
        <v>45</v>
      </c>
      <c r="S279" s="18"/>
      <c r="T279" s="19"/>
      <c r="U279" s="20">
        <f t="shared" si="131"/>
        <v>0</v>
      </c>
      <c r="V279" s="20"/>
      <c r="W279" s="20"/>
      <c r="X279" s="20"/>
      <c r="Y279" s="21"/>
      <c r="Z279" s="29"/>
      <c r="AA279" s="29"/>
      <c r="AB279" s="29"/>
      <c r="AC279" s="29"/>
      <c r="AD279" s="23"/>
      <c r="AE279" s="23"/>
      <c r="AF279" s="23"/>
      <c r="AG279" s="23"/>
      <c r="AH279" s="23"/>
      <c r="AI279" s="23"/>
      <c r="AJ279" s="23"/>
      <c r="AK279" s="24"/>
      <c r="AL279" s="24"/>
      <c r="AM279" s="24"/>
      <c r="AN279" s="24"/>
      <c r="AO279" s="24"/>
      <c r="AP279" s="30"/>
      <c r="AQ279" s="24"/>
      <c r="AR279" s="24"/>
      <c r="AS279" s="24"/>
      <c r="AT279" s="30"/>
      <c r="AU279" s="24"/>
      <c r="AV279" s="24"/>
    </row>
    <row r="280" spans="1:48" ht="37.5" hidden="1" customHeight="1" x14ac:dyDescent="0.3">
      <c r="A280" s="26"/>
      <c r="B280" s="26"/>
      <c r="C280" s="16" t="s">
        <v>500</v>
      </c>
      <c r="D280" s="16"/>
      <c r="E280" s="17"/>
      <c r="F280" s="18"/>
      <c r="G280" s="17"/>
      <c r="H280" s="18"/>
      <c r="I280" s="18" t="s">
        <v>45</v>
      </c>
      <c r="J280" s="18" t="s">
        <v>45</v>
      </c>
      <c r="K280" s="18"/>
      <c r="L280" s="18" t="s">
        <v>45</v>
      </c>
      <c r="M280" s="28">
        <v>1</v>
      </c>
      <c r="N280" s="18" t="s">
        <v>45</v>
      </c>
      <c r="O280" s="18"/>
      <c r="P280" s="18"/>
      <c r="Q280" s="28">
        <v>1</v>
      </c>
      <c r="R280" s="18" t="s">
        <v>45</v>
      </c>
      <c r="S280" s="18"/>
      <c r="T280" s="19"/>
      <c r="U280" s="20">
        <f t="shared" si="131"/>
        <v>0</v>
      </c>
      <c r="V280" s="20"/>
      <c r="W280" s="20"/>
      <c r="X280" s="20"/>
      <c r="Y280" s="21"/>
      <c r="Z280" s="29"/>
      <c r="AA280" s="29"/>
      <c r="AB280" s="29"/>
      <c r="AC280" s="29"/>
      <c r="AD280" s="23"/>
      <c r="AE280" s="23"/>
      <c r="AF280" s="23"/>
      <c r="AG280" s="23"/>
      <c r="AH280" s="23"/>
      <c r="AI280" s="23"/>
      <c r="AJ280" s="23"/>
      <c r="AK280" s="24"/>
      <c r="AL280" s="24"/>
      <c r="AM280" s="24"/>
      <c r="AN280" s="24"/>
      <c r="AO280" s="24"/>
      <c r="AP280" s="30"/>
      <c r="AQ280" s="24"/>
      <c r="AR280" s="24"/>
      <c r="AS280" s="24"/>
      <c r="AT280" s="30"/>
      <c r="AU280" s="24"/>
      <c r="AV280" s="24"/>
    </row>
    <row r="281" spans="1:48" ht="18.75" hidden="1" customHeight="1" x14ac:dyDescent="0.3">
      <c r="A281" s="26"/>
      <c r="B281" s="26"/>
      <c r="C281" s="16" t="s">
        <v>501</v>
      </c>
      <c r="D281" s="16"/>
      <c r="E281" s="17"/>
      <c r="F281" s="18"/>
      <c r="G281" s="17"/>
      <c r="H281" s="18"/>
      <c r="I281" s="18" t="s">
        <v>45</v>
      </c>
      <c r="J281" s="18" t="s">
        <v>45</v>
      </c>
      <c r="K281" s="18"/>
      <c r="L281" s="18" t="s">
        <v>45</v>
      </c>
      <c r="M281" s="28">
        <v>1</v>
      </c>
      <c r="N281" s="18" t="s">
        <v>45</v>
      </c>
      <c r="O281" s="18"/>
      <c r="P281" s="18"/>
      <c r="Q281" s="28">
        <v>1</v>
      </c>
      <c r="R281" s="18" t="s">
        <v>45</v>
      </c>
      <c r="S281" s="18"/>
      <c r="T281" s="19"/>
      <c r="U281" s="20">
        <f t="shared" si="131"/>
        <v>0</v>
      </c>
      <c r="V281" s="20"/>
      <c r="W281" s="20"/>
      <c r="X281" s="20"/>
      <c r="Y281" s="21"/>
      <c r="Z281" s="29"/>
      <c r="AA281" s="29"/>
      <c r="AB281" s="29"/>
      <c r="AC281" s="29"/>
      <c r="AD281" s="23"/>
      <c r="AE281" s="23"/>
      <c r="AF281" s="23"/>
      <c r="AG281" s="23"/>
      <c r="AH281" s="23"/>
      <c r="AI281" s="23"/>
      <c r="AJ281" s="23"/>
      <c r="AK281" s="24"/>
      <c r="AL281" s="24"/>
      <c r="AM281" s="24"/>
      <c r="AN281" s="24"/>
      <c r="AO281" s="24"/>
      <c r="AP281" s="30"/>
      <c r="AQ281" s="24"/>
      <c r="AR281" s="24"/>
      <c r="AS281" s="24"/>
      <c r="AT281" s="30"/>
      <c r="AU281" s="24"/>
      <c r="AV281" s="24"/>
    </row>
    <row r="282" spans="1:48" ht="37.5" hidden="1" customHeight="1" x14ac:dyDescent="0.3">
      <c r="A282" s="26"/>
      <c r="B282" s="26"/>
      <c r="C282" s="16" t="s">
        <v>502</v>
      </c>
      <c r="D282" s="16"/>
      <c r="E282" s="17"/>
      <c r="F282" s="18"/>
      <c r="G282" s="17"/>
      <c r="H282" s="18"/>
      <c r="I282" s="18" t="s">
        <v>45</v>
      </c>
      <c r="J282" s="18" t="s">
        <v>45</v>
      </c>
      <c r="K282" s="18"/>
      <c r="L282" s="18" t="s">
        <v>45</v>
      </c>
      <c r="M282" s="28">
        <v>1</v>
      </c>
      <c r="N282" s="18" t="s">
        <v>45</v>
      </c>
      <c r="O282" s="18"/>
      <c r="P282" s="18"/>
      <c r="Q282" s="28">
        <v>1</v>
      </c>
      <c r="R282" s="18" t="s">
        <v>45</v>
      </c>
      <c r="S282" s="18"/>
      <c r="T282" s="19"/>
      <c r="U282" s="20">
        <f t="shared" si="131"/>
        <v>0</v>
      </c>
      <c r="V282" s="20"/>
      <c r="W282" s="20"/>
      <c r="X282" s="20"/>
      <c r="Y282" s="21"/>
      <c r="Z282" s="29"/>
      <c r="AA282" s="29"/>
      <c r="AB282" s="29"/>
      <c r="AC282" s="29"/>
      <c r="AD282" s="23"/>
      <c r="AE282" s="23"/>
      <c r="AF282" s="23"/>
      <c r="AG282" s="23"/>
      <c r="AH282" s="23"/>
      <c r="AI282" s="23"/>
      <c r="AJ282" s="23"/>
      <c r="AK282" s="24"/>
      <c r="AL282" s="24"/>
      <c r="AM282" s="24"/>
      <c r="AN282" s="24"/>
      <c r="AO282" s="24"/>
      <c r="AP282" s="30"/>
      <c r="AQ282" s="24"/>
      <c r="AR282" s="24"/>
      <c r="AS282" s="24"/>
      <c r="AT282" s="30"/>
      <c r="AU282" s="24"/>
      <c r="AV282" s="24"/>
    </row>
    <row r="283" spans="1:48" ht="36" hidden="1" customHeight="1" x14ac:dyDescent="0.3">
      <c r="A283" s="26"/>
      <c r="B283" s="26"/>
      <c r="C283" s="16" t="s">
        <v>503</v>
      </c>
      <c r="D283" s="16"/>
      <c r="E283" s="17"/>
      <c r="F283" s="18"/>
      <c r="G283" s="17"/>
      <c r="H283" s="18"/>
      <c r="I283" s="18" t="s">
        <v>45</v>
      </c>
      <c r="J283" s="18" t="s">
        <v>45</v>
      </c>
      <c r="K283" s="18"/>
      <c r="L283" s="18" t="s">
        <v>45</v>
      </c>
      <c r="M283" s="28">
        <v>1</v>
      </c>
      <c r="N283" s="18" t="s">
        <v>45</v>
      </c>
      <c r="O283" s="18"/>
      <c r="P283" s="18"/>
      <c r="Q283" s="28">
        <v>1</v>
      </c>
      <c r="R283" s="18" t="s">
        <v>45</v>
      </c>
      <c r="S283" s="18"/>
      <c r="T283" s="19"/>
      <c r="U283" s="20">
        <f t="shared" si="131"/>
        <v>0</v>
      </c>
      <c r="V283" s="20"/>
      <c r="W283" s="20"/>
      <c r="X283" s="20"/>
      <c r="Y283" s="21"/>
      <c r="Z283" s="29"/>
      <c r="AA283" s="29"/>
      <c r="AB283" s="29"/>
      <c r="AC283" s="29"/>
      <c r="AD283" s="23"/>
      <c r="AE283" s="23"/>
      <c r="AF283" s="23"/>
      <c r="AG283" s="23"/>
      <c r="AH283" s="23"/>
      <c r="AI283" s="23"/>
      <c r="AJ283" s="23"/>
      <c r="AK283" s="24"/>
      <c r="AL283" s="24"/>
      <c r="AM283" s="24"/>
      <c r="AN283" s="24"/>
      <c r="AO283" s="24"/>
      <c r="AP283" s="30"/>
      <c r="AQ283" s="24"/>
      <c r="AR283" s="24"/>
      <c r="AS283" s="24"/>
      <c r="AT283" s="30"/>
      <c r="AU283" s="24"/>
      <c r="AV283" s="24"/>
    </row>
    <row r="284" spans="1:48" ht="33" hidden="1" customHeight="1" x14ac:dyDescent="0.3">
      <c r="A284" s="26"/>
      <c r="B284" s="26"/>
      <c r="C284" s="16" t="s">
        <v>504</v>
      </c>
      <c r="D284" s="16"/>
      <c r="E284" s="17"/>
      <c r="F284" s="18"/>
      <c r="G284" s="17"/>
      <c r="H284" s="18"/>
      <c r="I284" s="18" t="s">
        <v>45</v>
      </c>
      <c r="J284" s="18" t="s">
        <v>45</v>
      </c>
      <c r="K284" s="18"/>
      <c r="L284" s="18" t="s">
        <v>45</v>
      </c>
      <c r="M284" s="28">
        <v>1</v>
      </c>
      <c r="N284" s="18" t="s">
        <v>45</v>
      </c>
      <c r="O284" s="18"/>
      <c r="P284" s="18"/>
      <c r="Q284" s="28">
        <v>1</v>
      </c>
      <c r="R284" s="18" t="s">
        <v>45</v>
      </c>
      <c r="S284" s="18"/>
      <c r="T284" s="19"/>
      <c r="U284" s="20">
        <f t="shared" si="131"/>
        <v>0</v>
      </c>
      <c r="V284" s="20"/>
      <c r="W284" s="20"/>
      <c r="X284" s="20"/>
      <c r="Y284" s="21"/>
      <c r="Z284" s="29"/>
      <c r="AA284" s="29"/>
      <c r="AB284" s="29"/>
      <c r="AC284" s="29"/>
      <c r="AD284" s="23"/>
      <c r="AE284" s="23"/>
      <c r="AF284" s="23"/>
      <c r="AG284" s="23"/>
      <c r="AH284" s="23"/>
      <c r="AI284" s="23"/>
      <c r="AJ284" s="23"/>
      <c r="AK284" s="24"/>
      <c r="AL284" s="24"/>
      <c r="AM284" s="24"/>
      <c r="AN284" s="24"/>
      <c r="AO284" s="24"/>
      <c r="AP284" s="30"/>
      <c r="AQ284" s="24"/>
      <c r="AR284" s="24"/>
      <c r="AS284" s="24"/>
      <c r="AT284" s="30"/>
      <c r="AU284" s="24"/>
      <c r="AV284" s="24"/>
    </row>
    <row r="285" spans="1:48" ht="40.5" hidden="1" customHeight="1" x14ac:dyDescent="0.3">
      <c r="A285" s="26"/>
      <c r="B285" s="26"/>
      <c r="C285" s="16" t="s">
        <v>505</v>
      </c>
      <c r="D285" s="16"/>
      <c r="E285" s="17"/>
      <c r="F285" s="18"/>
      <c r="G285" s="17"/>
      <c r="H285" s="18"/>
      <c r="I285" s="18" t="s">
        <v>45</v>
      </c>
      <c r="J285" s="18" t="s">
        <v>45</v>
      </c>
      <c r="K285" s="18"/>
      <c r="L285" s="18" t="s">
        <v>45</v>
      </c>
      <c r="M285" s="28">
        <v>1</v>
      </c>
      <c r="N285" s="18" t="s">
        <v>45</v>
      </c>
      <c r="O285" s="18"/>
      <c r="P285" s="18"/>
      <c r="Q285" s="28">
        <v>1</v>
      </c>
      <c r="R285" s="18" t="s">
        <v>45</v>
      </c>
      <c r="S285" s="18"/>
      <c r="T285" s="19"/>
      <c r="U285" s="20">
        <f t="shared" si="131"/>
        <v>0</v>
      </c>
      <c r="V285" s="20"/>
      <c r="W285" s="20"/>
      <c r="X285" s="20"/>
      <c r="Y285" s="21"/>
      <c r="Z285" s="29"/>
      <c r="AA285" s="29"/>
      <c r="AB285" s="29"/>
      <c r="AC285" s="29"/>
      <c r="AD285" s="23"/>
      <c r="AE285" s="23"/>
      <c r="AF285" s="23"/>
      <c r="AG285" s="23"/>
      <c r="AH285" s="23"/>
      <c r="AI285" s="23"/>
      <c r="AJ285" s="23"/>
      <c r="AK285" s="24"/>
      <c r="AL285" s="24"/>
      <c r="AM285" s="24"/>
      <c r="AN285" s="24"/>
      <c r="AO285" s="24"/>
      <c r="AP285" s="30"/>
      <c r="AQ285" s="24"/>
      <c r="AR285" s="24"/>
      <c r="AS285" s="24"/>
      <c r="AT285" s="30"/>
      <c r="AU285" s="24"/>
      <c r="AV285" s="24"/>
    </row>
    <row r="286" spans="1:48" ht="33" hidden="1" customHeight="1" x14ac:dyDescent="0.3">
      <c r="A286" s="26"/>
      <c r="B286" s="26"/>
      <c r="C286" s="16" t="s">
        <v>506</v>
      </c>
      <c r="D286" s="16"/>
      <c r="E286" s="17"/>
      <c r="F286" s="18"/>
      <c r="G286" s="17"/>
      <c r="H286" s="18"/>
      <c r="I286" s="18" t="s">
        <v>45</v>
      </c>
      <c r="J286" s="18" t="s">
        <v>45</v>
      </c>
      <c r="K286" s="18"/>
      <c r="L286" s="18" t="s">
        <v>45</v>
      </c>
      <c r="M286" s="28">
        <v>1</v>
      </c>
      <c r="N286" s="18" t="s">
        <v>45</v>
      </c>
      <c r="O286" s="18"/>
      <c r="P286" s="18"/>
      <c r="Q286" s="28">
        <v>1</v>
      </c>
      <c r="R286" s="18" t="s">
        <v>45</v>
      </c>
      <c r="S286" s="18"/>
      <c r="T286" s="19"/>
      <c r="U286" s="20">
        <f t="shared" si="131"/>
        <v>0</v>
      </c>
      <c r="V286" s="20"/>
      <c r="W286" s="20"/>
      <c r="X286" s="20"/>
      <c r="Y286" s="21"/>
      <c r="Z286" s="29"/>
      <c r="AA286" s="29"/>
      <c r="AB286" s="29"/>
      <c r="AC286" s="29"/>
      <c r="AD286" s="23"/>
      <c r="AE286" s="23"/>
      <c r="AF286" s="23"/>
      <c r="AG286" s="23"/>
      <c r="AH286" s="23"/>
      <c r="AI286" s="23"/>
      <c r="AJ286" s="23"/>
      <c r="AK286" s="24"/>
      <c r="AL286" s="24"/>
      <c r="AM286" s="24"/>
      <c r="AN286" s="24"/>
      <c r="AO286" s="24"/>
      <c r="AP286" s="30"/>
      <c r="AQ286" s="24"/>
      <c r="AR286" s="24"/>
      <c r="AS286" s="24"/>
      <c r="AT286" s="30"/>
      <c r="AU286" s="24"/>
      <c r="AV286" s="24"/>
    </row>
    <row r="287" spans="1:48" ht="37.5" hidden="1" customHeight="1" x14ac:dyDescent="0.3">
      <c r="A287" s="26"/>
      <c r="B287" s="26"/>
      <c r="C287" s="16" t="s">
        <v>507</v>
      </c>
      <c r="D287" s="16"/>
      <c r="E287" s="17"/>
      <c r="F287" s="18"/>
      <c r="G287" s="17"/>
      <c r="H287" s="18"/>
      <c r="I287" s="18" t="s">
        <v>45</v>
      </c>
      <c r="J287" s="18" t="s">
        <v>45</v>
      </c>
      <c r="K287" s="18"/>
      <c r="L287" s="18" t="s">
        <v>45</v>
      </c>
      <c r="M287" s="28">
        <v>1</v>
      </c>
      <c r="N287" s="18" t="s">
        <v>45</v>
      </c>
      <c r="O287" s="18"/>
      <c r="P287" s="18"/>
      <c r="Q287" s="28">
        <v>1</v>
      </c>
      <c r="R287" s="18" t="s">
        <v>45</v>
      </c>
      <c r="S287" s="18"/>
      <c r="T287" s="19"/>
      <c r="U287" s="20">
        <f t="shared" si="131"/>
        <v>0</v>
      </c>
      <c r="V287" s="20"/>
      <c r="W287" s="20"/>
      <c r="X287" s="20"/>
      <c r="Y287" s="21"/>
      <c r="Z287" s="29"/>
      <c r="AA287" s="29"/>
      <c r="AB287" s="29"/>
      <c r="AC287" s="29"/>
      <c r="AD287" s="23"/>
      <c r="AE287" s="23"/>
      <c r="AF287" s="23"/>
      <c r="AG287" s="23"/>
      <c r="AH287" s="23"/>
      <c r="AI287" s="23"/>
      <c r="AJ287" s="23"/>
      <c r="AK287" s="24"/>
      <c r="AL287" s="24"/>
      <c r="AM287" s="24"/>
      <c r="AN287" s="24"/>
      <c r="AO287" s="24"/>
      <c r="AP287" s="30"/>
      <c r="AQ287" s="24"/>
      <c r="AR287" s="24"/>
      <c r="AS287" s="24"/>
      <c r="AT287" s="30"/>
      <c r="AU287" s="24"/>
      <c r="AV287" s="24"/>
    </row>
    <row r="288" spans="1:48" ht="34.5" hidden="1" customHeight="1" x14ac:dyDescent="0.3">
      <c r="A288" s="26"/>
      <c r="B288" s="26"/>
      <c r="C288" s="16" t="s">
        <v>508</v>
      </c>
      <c r="D288" s="16"/>
      <c r="E288" s="17"/>
      <c r="F288" s="18"/>
      <c r="G288" s="17"/>
      <c r="H288" s="18"/>
      <c r="I288" s="18" t="s">
        <v>45</v>
      </c>
      <c r="J288" s="18" t="s">
        <v>45</v>
      </c>
      <c r="K288" s="18"/>
      <c r="L288" s="18" t="s">
        <v>45</v>
      </c>
      <c r="M288" s="28">
        <v>1</v>
      </c>
      <c r="N288" s="18" t="s">
        <v>45</v>
      </c>
      <c r="O288" s="18"/>
      <c r="P288" s="18"/>
      <c r="Q288" s="28">
        <v>1</v>
      </c>
      <c r="R288" s="18" t="s">
        <v>45</v>
      </c>
      <c r="S288" s="18"/>
      <c r="T288" s="19"/>
      <c r="U288" s="20">
        <f t="shared" si="131"/>
        <v>0</v>
      </c>
      <c r="V288" s="20"/>
      <c r="W288" s="20"/>
      <c r="X288" s="20"/>
      <c r="Y288" s="21"/>
      <c r="Z288" s="29"/>
      <c r="AA288" s="29"/>
      <c r="AB288" s="29"/>
      <c r="AC288" s="29"/>
      <c r="AD288" s="23"/>
      <c r="AE288" s="23"/>
      <c r="AF288" s="23"/>
      <c r="AG288" s="23"/>
      <c r="AH288" s="23"/>
      <c r="AI288" s="23"/>
      <c r="AJ288" s="23"/>
      <c r="AK288" s="24"/>
      <c r="AL288" s="24"/>
      <c r="AM288" s="24"/>
      <c r="AN288" s="24"/>
      <c r="AO288" s="24"/>
      <c r="AP288" s="30"/>
      <c r="AQ288" s="24"/>
      <c r="AR288" s="24"/>
      <c r="AS288" s="24"/>
      <c r="AT288" s="30"/>
      <c r="AU288" s="24"/>
      <c r="AV288" s="24"/>
    </row>
    <row r="289" spans="1:48" ht="41.25" hidden="1" customHeight="1" x14ac:dyDescent="0.3">
      <c r="A289" s="26"/>
      <c r="B289" s="26"/>
      <c r="C289" s="16" t="s">
        <v>509</v>
      </c>
      <c r="D289" s="16"/>
      <c r="E289" s="17"/>
      <c r="F289" s="18"/>
      <c r="G289" s="17"/>
      <c r="H289" s="18"/>
      <c r="I289" s="18" t="s">
        <v>45</v>
      </c>
      <c r="J289" s="18" t="s">
        <v>45</v>
      </c>
      <c r="K289" s="18"/>
      <c r="L289" s="18" t="s">
        <v>45</v>
      </c>
      <c r="M289" s="28">
        <v>1</v>
      </c>
      <c r="N289" s="18" t="s">
        <v>45</v>
      </c>
      <c r="O289" s="18"/>
      <c r="P289" s="18"/>
      <c r="Q289" s="28">
        <v>1</v>
      </c>
      <c r="R289" s="18" t="s">
        <v>45</v>
      </c>
      <c r="S289" s="18"/>
      <c r="T289" s="19"/>
      <c r="U289" s="20">
        <f t="shared" si="131"/>
        <v>0</v>
      </c>
      <c r="V289" s="20"/>
      <c r="W289" s="20"/>
      <c r="X289" s="20"/>
      <c r="Y289" s="21"/>
      <c r="Z289" s="29"/>
      <c r="AA289" s="29"/>
      <c r="AB289" s="29"/>
      <c r="AC289" s="29"/>
      <c r="AD289" s="23"/>
      <c r="AE289" s="23"/>
      <c r="AF289" s="23"/>
      <c r="AG289" s="23"/>
      <c r="AH289" s="23"/>
      <c r="AI289" s="23"/>
      <c r="AJ289" s="23"/>
      <c r="AK289" s="24"/>
      <c r="AL289" s="24"/>
      <c r="AM289" s="24"/>
      <c r="AN289" s="24"/>
      <c r="AO289" s="24"/>
      <c r="AP289" s="30"/>
      <c r="AQ289" s="24"/>
      <c r="AR289" s="24"/>
      <c r="AS289" s="24"/>
      <c r="AT289" s="30"/>
      <c r="AU289" s="24"/>
      <c r="AV289" s="24"/>
    </row>
    <row r="290" spans="1:48" s="25" customFormat="1" hidden="1" x14ac:dyDescent="0.3">
      <c r="A290" s="31"/>
      <c r="B290" s="31"/>
      <c r="C290" s="88" t="s">
        <v>52</v>
      </c>
      <c r="D290" s="19"/>
      <c r="E290" s="17"/>
      <c r="F290" s="18"/>
      <c r="G290" s="2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9"/>
      <c r="U290" s="20"/>
      <c r="V290" s="20"/>
      <c r="W290" s="20"/>
      <c r="X290" s="20"/>
      <c r="Y290" s="21"/>
      <c r="Z290" s="29"/>
      <c r="AA290" s="29"/>
      <c r="AB290" s="29"/>
      <c r="AC290" s="29"/>
      <c r="AD290" s="23"/>
      <c r="AE290" s="23"/>
      <c r="AF290" s="23"/>
      <c r="AG290" s="23"/>
      <c r="AH290" s="23"/>
      <c r="AI290" s="23"/>
      <c r="AJ290" s="23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</row>
    <row r="291" spans="1:48" s="25" customFormat="1" ht="19.5" hidden="1" customHeight="1" x14ac:dyDescent="0.3">
      <c r="A291" s="90">
        <v>44</v>
      </c>
      <c r="B291" s="90" t="s">
        <v>510</v>
      </c>
      <c r="C291" s="16" t="s">
        <v>43</v>
      </c>
      <c r="D291" s="19"/>
      <c r="E291" s="17"/>
      <c r="F291" s="18"/>
      <c r="G291" s="17"/>
      <c r="H291" s="18"/>
      <c r="I291" s="18" t="s">
        <v>45</v>
      </c>
      <c r="J291" s="18" t="s">
        <v>45</v>
      </c>
      <c r="K291" s="18"/>
      <c r="L291" s="18" t="s">
        <v>45</v>
      </c>
      <c r="M291" s="28">
        <v>1</v>
      </c>
      <c r="N291" s="18" t="s">
        <v>45</v>
      </c>
      <c r="O291" s="18"/>
      <c r="P291" s="18"/>
      <c r="Q291" s="28">
        <v>1</v>
      </c>
      <c r="R291" s="18" t="s">
        <v>45</v>
      </c>
      <c r="S291" s="18"/>
      <c r="T291" s="19"/>
      <c r="U291" s="20">
        <v>77643</v>
      </c>
      <c r="V291" s="20"/>
      <c r="W291" s="20"/>
      <c r="X291" s="20"/>
      <c r="Y291" s="21">
        <v>79379.7</v>
      </c>
      <c r="Z291" s="29"/>
      <c r="AA291" s="29"/>
      <c r="AB291" s="29"/>
      <c r="AC291" s="29"/>
      <c r="AD291" s="23"/>
      <c r="AE291" s="23"/>
      <c r="AF291" s="23"/>
      <c r="AG291" s="23"/>
      <c r="AH291" s="23"/>
      <c r="AI291" s="23"/>
      <c r="AJ291" s="23"/>
      <c r="AK291" s="24"/>
      <c r="AL291" s="24"/>
      <c r="AM291" s="24"/>
      <c r="AN291" s="24"/>
      <c r="AO291" s="24"/>
      <c r="AP291" s="30"/>
      <c r="AQ291" s="24"/>
      <c r="AR291" s="24"/>
      <c r="AS291" s="24"/>
      <c r="AT291" s="30"/>
      <c r="AU291" s="24"/>
      <c r="AV291" s="24"/>
    </row>
    <row r="292" spans="1:48" ht="22.5" hidden="1" customHeight="1" x14ac:dyDescent="0.3">
      <c r="A292" s="90"/>
      <c r="B292" s="90"/>
      <c r="C292" s="16" t="s">
        <v>511</v>
      </c>
      <c r="D292" s="19"/>
      <c r="E292" s="17"/>
      <c r="F292" s="18"/>
      <c r="G292" s="17"/>
      <c r="H292" s="18"/>
      <c r="I292" s="18" t="s">
        <v>45</v>
      </c>
      <c r="J292" s="18" t="s">
        <v>45</v>
      </c>
      <c r="K292" s="18"/>
      <c r="L292" s="18" t="s">
        <v>45</v>
      </c>
      <c r="M292" s="28">
        <v>1</v>
      </c>
      <c r="N292" s="18" t="s">
        <v>45</v>
      </c>
      <c r="O292" s="18"/>
      <c r="P292" s="18"/>
      <c r="Q292" s="28">
        <v>1</v>
      </c>
      <c r="R292" s="18" t="s">
        <v>45</v>
      </c>
      <c r="S292" s="18"/>
      <c r="T292" s="19"/>
      <c r="U292" s="20">
        <v>1736.7</v>
      </c>
      <c r="V292" s="20"/>
      <c r="W292" s="20"/>
      <c r="X292" s="20"/>
      <c r="Y292" s="21"/>
      <c r="Z292" s="29"/>
      <c r="AA292" s="29"/>
      <c r="AB292" s="29"/>
      <c r="AC292" s="29"/>
      <c r="AD292" s="23"/>
      <c r="AE292" s="23"/>
      <c r="AF292" s="23"/>
      <c r="AG292" s="23"/>
      <c r="AH292" s="23"/>
      <c r="AI292" s="23"/>
      <c r="AJ292" s="23"/>
      <c r="AK292" s="24"/>
      <c r="AL292" s="24"/>
      <c r="AM292" s="24"/>
      <c r="AN292" s="24"/>
      <c r="AO292" s="24"/>
      <c r="AP292" s="30"/>
      <c r="AQ292" s="24"/>
      <c r="AR292" s="24"/>
      <c r="AS292" s="24"/>
      <c r="AT292" s="30"/>
      <c r="AU292" s="24"/>
      <c r="AV292" s="24"/>
    </row>
    <row r="293" spans="1:48" s="42" customFormat="1" hidden="1" x14ac:dyDescent="0.3">
      <c r="A293" s="90"/>
      <c r="B293" s="90"/>
      <c r="C293" s="32" t="s">
        <v>52</v>
      </c>
      <c r="D293" s="33"/>
      <c r="E293" s="34"/>
      <c r="F293" s="35"/>
      <c r="G293" s="36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3"/>
      <c r="U293" s="76"/>
      <c r="V293" s="76"/>
      <c r="W293" s="76"/>
      <c r="X293" s="76"/>
      <c r="Y293" s="77"/>
      <c r="Z293" s="39"/>
      <c r="AA293" s="39"/>
      <c r="AB293" s="39"/>
      <c r="AC293" s="39"/>
      <c r="AD293" s="40"/>
      <c r="AE293" s="40"/>
      <c r="AF293" s="40"/>
      <c r="AG293" s="40"/>
      <c r="AH293" s="40"/>
      <c r="AI293" s="40"/>
      <c r="AJ293" s="40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</row>
    <row r="294" spans="1:48" s="103" customFormat="1" ht="61.5" hidden="1" customHeight="1" x14ac:dyDescent="0.45">
      <c r="A294" s="91" t="s">
        <v>512</v>
      </c>
      <c r="B294" s="92"/>
      <c r="C294" s="93"/>
      <c r="D294" s="93"/>
      <c r="E294" s="94"/>
      <c r="F294" s="95"/>
      <c r="G294" s="94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7"/>
      <c r="U294" s="98"/>
      <c r="V294" s="98"/>
      <c r="W294" s="98"/>
      <c r="X294" s="98"/>
      <c r="Y294" s="99"/>
      <c r="Z294" s="100"/>
      <c r="AA294" s="100"/>
      <c r="AB294" s="100"/>
      <c r="AC294" s="100"/>
      <c r="AD294" s="101"/>
      <c r="AE294" s="101"/>
      <c r="AF294" s="101"/>
      <c r="AG294" s="101"/>
      <c r="AH294" s="101"/>
      <c r="AI294" s="101"/>
      <c r="AJ294" s="101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</row>
    <row r="295" spans="1:48" s="103" customFormat="1" ht="28.5" hidden="1" x14ac:dyDescent="0.45">
      <c r="A295" s="104" t="s">
        <v>513</v>
      </c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5"/>
      <c r="AE295" s="105"/>
      <c r="AF295" s="105"/>
      <c r="AG295" s="105"/>
      <c r="AH295" s="105"/>
      <c r="AI295" s="105"/>
      <c r="AJ295" s="105"/>
      <c r="AK295" s="106"/>
      <c r="AL295" s="107"/>
      <c r="AM295" s="107"/>
      <c r="AN295" s="106"/>
      <c r="AO295" s="106"/>
      <c r="AP295" s="106"/>
      <c r="AQ295" s="106"/>
      <c r="AR295" s="106"/>
      <c r="AS295" s="106"/>
      <c r="AT295" s="106"/>
      <c r="AU295" s="106"/>
      <c r="AV295" s="106"/>
    </row>
  </sheetData>
  <sheetProtection algorithmName="SHA-512" hashValue="2jMs6xOw5Nb5a1xhhSJxapsw//7eMnTvKc8kShtTEKQljePVxLfUxcRr+Xp/V52Z5IY/GpirOWLMvCknLa4x3A==" saltValue="+zbIhTqr65adu6Ab084KjA==" spinCount="100000" sheet="1" objects="1" scenarios="1"/>
  <autoFilter ref="A4:AV295">
    <filterColumn colId="0" showButton="0"/>
  </autoFilter>
  <mergeCells count="144">
    <mergeCell ref="A252:A290"/>
    <mergeCell ref="B252:B290"/>
    <mergeCell ref="A291:A293"/>
    <mergeCell ref="B291:B293"/>
    <mergeCell ref="A295:AC295"/>
    <mergeCell ref="A240:A242"/>
    <mergeCell ref="B240:B242"/>
    <mergeCell ref="A243:A247"/>
    <mergeCell ref="B243:B247"/>
    <mergeCell ref="A248:A251"/>
    <mergeCell ref="B248:B251"/>
    <mergeCell ref="A225:A228"/>
    <mergeCell ref="B225:B228"/>
    <mergeCell ref="A229:A235"/>
    <mergeCell ref="B229:B235"/>
    <mergeCell ref="A236:A239"/>
    <mergeCell ref="B236:B239"/>
    <mergeCell ref="A208:A214"/>
    <mergeCell ref="B208:B214"/>
    <mergeCell ref="A215:A218"/>
    <mergeCell ref="B215:B218"/>
    <mergeCell ref="A219:A224"/>
    <mergeCell ref="B219:B224"/>
    <mergeCell ref="A191:A196"/>
    <mergeCell ref="B191:B196"/>
    <mergeCell ref="A197:A200"/>
    <mergeCell ref="B197:B200"/>
    <mergeCell ref="A201:A207"/>
    <mergeCell ref="B201:B207"/>
    <mergeCell ref="A165:A168"/>
    <mergeCell ref="B165:B168"/>
    <mergeCell ref="A169:A177"/>
    <mergeCell ref="B169:B177"/>
    <mergeCell ref="A178:A190"/>
    <mergeCell ref="B178:B190"/>
    <mergeCell ref="A156:A158"/>
    <mergeCell ref="B156:B158"/>
    <mergeCell ref="A159:A161"/>
    <mergeCell ref="B159:B161"/>
    <mergeCell ref="A162:A164"/>
    <mergeCell ref="B162:B164"/>
    <mergeCell ref="A136:A139"/>
    <mergeCell ref="B136:B139"/>
    <mergeCell ref="A140:A148"/>
    <mergeCell ref="B140:B148"/>
    <mergeCell ref="A149:A155"/>
    <mergeCell ref="B149:B155"/>
    <mergeCell ref="A123:A126"/>
    <mergeCell ref="B123:B126"/>
    <mergeCell ref="A127:A130"/>
    <mergeCell ref="B127:B130"/>
    <mergeCell ref="A131:A135"/>
    <mergeCell ref="B131:B135"/>
    <mergeCell ref="A107:A110"/>
    <mergeCell ref="B107:B110"/>
    <mergeCell ref="A111:A118"/>
    <mergeCell ref="B111:B118"/>
    <mergeCell ref="A119:A122"/>
    <mergeCell ref="B119:B122"/>
    <mergeCell ref="A89:A97"/>
    <mergeCell ref="B89:B97"/>
    <mergeCell ref="A98:A103"/>
    <mergeCell ref="B98:B103"/>
    <mergeCell ref="A104:A106"/>
    <mergeCell ref="B104:B106"/>
    <mergeCell ref="A71:A74"/>
    <mergeCell ref="B71:B74"/>
    <mergeCell ref="A75:A80"/>
    <mergeCell ref="B75:B80"/>
    <mergeCell ref="A81:A88"/>
    <mergeCell ref="B81:B88"/>
    <mergeCell ref="A55:A60"/>
    <mergeCell ref="B55:B60"/>
    <mergeCell ref="A61:A67"/>
    <mergeCell ref="B61:B67"/>
    <mergeCell ref="A68:A70"/>
    <mergeCell ref="B68:B70"/>
    <mergeCell ref="A37:A44"/>
    <mergeCell ref="B37:B44"/>
    <mergeCell ref="A45:A52"/>
    <mergeCell ref="B45:B52"/>
    <mergeCell ref="A53:A54"/>
    <mergeCell ref="B53:B54"/>
    <mergeCell ref="A5:A9"/>
    <mergeCell ref="B5:B9"/>
    <mergeCell ref="A10:A12"/>
    <mergeCell ref="B10:B12"/>
    <mergeCell ref="A13:A36"/>
    <mergeCell ref="B13:B22"/>
    <mergeCell ref="B23:B35"/>
    <mergeCell ref="AR2:AR3"/>
    <mergeCell ref="AS2:AS3"/>
    <mergeCell ref="AT2:AT3"/>
    <mergeCell ref="AU2:AU3"/>
    <mergeCell ref="AV2:AV3"/>
    <mergeCell ref="A4:B4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H1:T1"/>
    <mergeCell ref="U1:Y1"/>
    <mergeCell ref="Z1:AC1"/>
    <mergeCell ref="AD1:AG1"/>
    <mergeCell ref="AH1:AJ1"/>
    <mergeCell ref="AK1:AV1"/>
    <mergeCell ref="A1:A3"/>
    <mergeCell ref="B1:B3"/>
    <mergeCell ref="C1:C3"/>
    <mergeCell ref="D1:D3"/>
    <mergeCell ref="E1:F2"/>
    <mergeCell ref="G1:G3"/>
  </mergeCells>
  <pageMargins left="0.43307086614173229" right="0.23622047244094491" top="0.49" bottom="0.35433070866141736" header="0.31496062992125984" footer="0.31496062992125984"/>
  <pageSetup paperSize="9" scale="37" fitToHeight="0" orientation="portrait" r:id="rId1"/>
  <headerFooter differentFirst="1">
    <oddHeader>&amp;C&amp;"Times New Roman,обычный"&amp;16&amp;P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Площади</vt:lpstr>
      <vt:lpstr>Лист1</vt:lpstr>
      <vt:lpstr>Площади!Заголовки_для_печати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2014-11-20T03:04:17Z</dcterms:modified>
</cp:coreProperties>
</file>